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60" yWindow="15" windowWidth="14730" windowHeight="10920" activeTab="1"/>
  </bookViews>
  <sheets>
    <sheet name="anexa nr 1 2025" sheetId="264" r:id="rId1"/>
    <sheet name=" anexa nr 2 2025 BL" sheetId="268" r:id="rId2"/>
    <sheet name="Anexa nr. 3 2025" sheetId="269" r:id="rId3"/>
    <sheet name="Anexa nr. 4 2023" sheetId="270" state="hidden" r:id="rId4"/>
    <sheet name="Anexa nr. 5 2025" sheetId="273" state="hidden" r:id="rId5"/>
  </sheets>
  <definedNames>
    <definedName name="_xlnm._FilterDatabase" localSheetId="1" hidden="1">' anexa nr 2 2025 BL'!$A$1:$C$1692</definedName>
    <definedName name="anexa1aprilie" localSheetId="1">#REF!</definedName>
    <definedName name="anexa1aprilie" localSheetId="0">#REF!</definedName>
    <definedName name="anexa1aprilie">#REF!</definedName>
    <definedName name="_xlnm.Database" localSheetId="1">#REF!</definedName>
    <definedName name="_xlnm.Database" localSheetId="0">#REF!</definedName>
    <definedName name="_xlnm.Database">#REF!</definedName>
    <definedName name="_xlnm.Print_Titles" localSheetId="1">' anexa nr 2 2025 BL'!$9:$10</definedName>
    <definedName name="_xlnm.Print_Titles" localSheetId="0">'anexa nr 1 2025'!$11:$17</definedName>
  </definedNames>
  <calcPr calcId="124519"/>
</workbook>
</file>

<file path=xl/calcChain.xml><?xml version="1.0" encoding="utf-8"?>
<calcChain xmlns="http://schemas.openxmlformats.org/spreadsheetml/2006/main">
  <c r="E2444" i="268"/>
  <c r="E2426"/>
  <c r="J50" i="264"/>
  <c r="B24" i="269"/>
  <c r="E206" i="268"/>
  <c r="F206"/>
  <c r="D206"/>
  <c r="E499"/>
  <c r="E500"/>
  <c r="D499"/>
  <c r="D500"/>
  <c r="E2314"/>
  <c r="E2298"/>
  <c r="E2280"/>
  <c r="E2255"/>
  <c r="E2074"/>
  <c r="D46" i="264" l="1"/>
  <c r="C23" i="269"/>
  <c r="D54" i="264"/>
  <c r="D45"/>
  <c r="D1617" i="268"/>
  <c r="D1618"/>
  <c r="D1359"/>
  <c r="D1358"/>
  <c r="D1328"/>
  <c r="D1317"/>
  <c r="D1279"/>
  <c r="D1089"/>
  <c r="D1088"/>
  <c r="D876"/>
  <c r="D889"/>
  <c r="D892"/>
  <c r="D897"/>
  <c r="D910"/>
  <c r="D913"/>
  <c r="D916"/>
  <c r="D926"/>
  <c r="D933"/>
  <c r="D934"/>
  <c r="D935"/>
  <c r="D936"/>
  <c r="D939"/>
  <c r="D940"/>
  <c r="D945"/>
  <c r="D951"/>
  <c r="D956"/>
  <c r="D1121"/>
  <c r="D1124"/>
  <c r="D1129"/>
  <c r="D1160"/>
  <c r="D1161"/>
  <c r="D1168"/>
  <c r="D1203"/>
  <c r="D1220"/>
  <c r="D1278"/>
  <c r="D1228"/>
  <c r="D1229"/>
  <c r="D1287"/>
  <c r="D1309"/>
  <c r="D1320"/>
  <c r="D1327"/>
  <c r="D1342"/>
  <c r="D1347"/>
  <c r="D1355"/>
  <c r="D1364"/>
  <c r="D1378"/>
  <c r="D1380"/>
  <c r="D1396"/>
  <c r="D1399"/>
  <c r="D1404"/>
  <c r="D1405"/>
  <c r="D1411"/>
  <c r="D1414"/>
  <c r="D1420"/>
  <c r="D1449"/>
  <c r="D1451"/>
  <c r="D1456"/>
  <c r="D1485"/>
  <c r="D1486"/>
  <c r="D1491"/>
  <c r="D1493"/>
  <c r="D1586"/>
  <c r="D1588"/>
  <c r="D1611"/>
  <c r="D1765"/>
  <c r="D1771"/>
  <c r="D1809"/>
  <c r="D1810"/>
  <c r="D1818"/>
  <c r="D1933"/>
  <c r="D1948"/>
  <c r="D2033"/>
  <c r="D2044"/>
  <c r="D2102"/>
  <c r="D2094"/>
  <c r="D2093"/>
  <c r="D2090"/>
  <c r="D2063"/>
  <c r="D2074"/>
  <c r="D2085"/>
  <c r="D2134"/>
  <c r="D2145"/>
  <c r="D2172"/>
  <c r="D2210"/>
  <c r="D2227"/>
  <c r="D2233"/>
  <c r="D2247"/>
  <c r="D2255"/>
  <c r="D2268"/>
  <c r="D2273"/>
  <c r="D2280"/>
  <c r="D2293"/>
  <c r="D2314"/>
  <c r="D2419"/>
  <c r="D2426"/>
  <c r="D2443"/>
  <c r="D2444"/>
  <c r="D2447"/>
  <c r="B23" i="269"/>
  <c r="B25"/>
  <c r="B27"/>
  <c r="B28"/>
  <c r="B29"/>
  <c r="B30"/>
  <c r="B32"/>
  <c r="B37"/>
  <c r="B38"/>
  <c r="B41"/>
  <c r="B43"/>
  <c r="E554" i="268" l="1"/>
  <c r="E68"/>
  <c r="E783" l="1"/>
  <c r="E2417"/>
  <c r="E2290"/>
  <c r="E647" s="1"/>
  <c r="E197"/>
  <c r="D600"/>
  <c r="E781" l="1"/>
  <c r="E78"/>
  <c r="D1221"/>
  <c r="D1822"/>
  <c r="D2278"/>
  <c r="D2298"/>
  <c r="D2317"/>
  <c r="D2421"/>
  <c r="E1821" l="1"/>
  <c r="E157"/>
  <c r="E146"/>
  <c r="D146"/>
  <c r="E1783"/>
  <c r="D1783"/>
  <c r="F1812"/>
  <c r="F146" s="1"/>
  <c r="E125"/>
  <c r="E158"/>
  <c r="E155"/>
  <c r="E154"/>
  <c r="D2103"/>
  <c r="E156" l="1"/>
  <c r="F1488"/>
  <c r="D2156"/>
  <c r="D2183"/>
  <c r="E373" l="1"/>
  <c r="F2061" l="1"/>
  <c r="F2059"/>
  <c r="F2056"/>
  <c r="F2055"/>
  <c r="F2054"/>
  <c r="F2053"/>
  <c r="F2052"/>
  <c r="D125" l="1"/>
  <c r="D1823"/>
  <c r="F1810"/>
  <c r="D783"/>
  <c r="E649"/>
  <c r="D649"/>
  <c r="E600"/>
  <c r="D524"/>
  <c r="D390"/>
  <c r="D389"/>
  <c r="D2417"/>
  <c r="D2416" s="1"/>
  <c r="D2275"/>
  <c r="D2244"/>
  <c r="D2290"/>
  <c r="D2289" s="1"/>
  <c r="D2060"/>
  <c r="F2060" s="1"/>
  <c r="D388"/>
  <c r="E784"/>
  <c r="D784"/>
  <c r="E198" l="1"/>
  <c r="E203"/>
  <c r="F600"/>
  <c r="F784"/>
  <c r="F602"/>
  <c r="E603"/>
  <c r="E548"/>
  <c r="D548"/>
  <c r="F2189"/>
  <c r="F2190"/>
  <c r="F2191"/>
  <c r="F2192"/>
  <c r="F2193"/>
  <c r="F2194"/>
  <c r="F2195"/>
  <c r="F2196"/>
  <c r="F2197"/>
  <c r="F2198"/>
  <c r="F2199"/>
  <c r="F540"/>
  <c r="F541"/>
  <c r="F542"/>
  <c r="F543"/>
  <c r="F544"/>
  <c r="F545"/>
  <c r="F546"/>
  <c r="F547"/>
  <c r="E471"/>
  <c r="D471"/>
  <c r="E463"/>
  <c r="D463"/>
  <c r="F463" s="1"/>
  <c r="E405"/>
  <c r="D405"/>
  <c r="D373"/>
  <c r="F373" s="1"/>
  <c r="F2025"/>
  <c r="F2026"/>
  <c r="F2029"/>
  <c r="F2030"/>
  <c r="D374"/>
  <c r="D2425"/>
  <c r="F2114"/>
  <c r="F2115"/>
  <c r="F2116"/>
  <c r="F2119"/>
  <c r="F2120"/>
  <c r="F2121"/>
  <c r="F2123"/>
  <c r="D2253"/>
  <c r="D2251"/>
  <c r="D2250"/>
  <c r="D603" s="1"/>
  <c r="F603" s="1"/>
  <c r="D2316"/>
  <c r="F2421"/>
  <c r="D2423"/>
  <c r="D2169"/>
  <c r="D2442"/>
  <c r="F2173"/>
  <c r="F2174"/>
  <c r="F2175"/>
  <c r="F2176"/>
  <c r="F2177"/>
  <c r="F2178"/>
  <c r="F471" l="1"/>
  <c r="F548"/>
  <c r="F405"/>
  <c r="D158" l="1"/>
  <c r="F158" s="1"/>
  <c r="D157"/>
  <c r="D155"/>
  <c r="F155" s="1"/>
  <c r="D154"/>
  <c r="F154" s="1"/>
  <c r="D1813"/>
  <c r="D1782" s="1"/>
  <c r="D1781" s="1"/>
  <c r="D1821"/>
  <c r="F1821" s="1"/>
  <c r="F1819"/>
  <c r="F1820"/>
  <c r="F1822"/>
  <c r="F1823"/>
  <c r="D78"/>
  <c r="F936"/>
  <c r="D901"/>
  <c r="F901" s="1"/>
  <c r="D1484"/>
  <c r="D652" s="1"/>
  <c r="D673"/>
  <c r="F673" s="1"/>
  <c r="D1487"/>
  <c r="F1487" s="1"/>
  <c r="D576"/>
  <c r="D1310"/>
  <c r="D1277"/>
  <c r="D1275" s="1"/>
  <c r="F1160"/>
  <c r="D1123"/>
  <c r="D1086" s="1"/>
  <c r="F876"/>
  <c r="F879"/>
  <c r="F881"/>
  <c r="F882"/>
  <c r="F883"/>
  <c r="F884"/>
  <c r="F885"/>
  <c r="F886"/>
  <c r="F889"/>
  <c r="F890"/>
  <c r="F891"/>
  <c r="F892"/>
  <c r="F893"/>
  <c r="F894"/>
  <c r="F895"/>
  <c r="F896"/>
  <c r="F897"/>
  <c r="F900"/>
  <c r="F902"/>
  <c r="F903"/>
  <c r="F904"/>
  <c r="F905"/>
  <c r="F906"/>
  <c r="F908"/>
  <c r="F910"/>
  <c r="F911"/>
  <c r="B35" i="269"/>
  <c r="D23"/>
  <c r="B10"/>
  <c r="D25"/>
  <c r="D30"/>
  <c r="F1489" i="268"/>
  <c r="F1462"/>
  <c r="F1463"/>
  <c r="F1464"/>
  <c r="F1465"/>
  <c r="F1359"/>
  <c r="D533"/>
  <c r="D810"/>
  <c r="D1050"/>
  <c r="D141"/>
  <c r="F1411"/>
  <c r="D1900"/>
  <c r="F2093"/>
  <c r="B18" i="269"/>
  <c r="E143" i="268"/>
  <c r="D143"/>
  <c r="F1809"/>
  <c r="F143" s="1"/>
  <c r="F1089"/>
  <c r="F1618"/>
  <c r="D807"/>
  <c r="E674"/>
  <c r="D674"/>
  <c r="E533"/>
  <c r="D528"/>
  <c r="F528" s="1"/>
  <c r="D2272"/>
  <c r="D2236" s="1"/>
  <c r="E550"/>
  <c r="D550"/>
  <c r="D522"/>
  <c r="D519" s="1"/>
  <c r="D449"/>
  <c r="F2094"/>
  <c r="D1947"/>
  <c r="D1909" s="1"/>
  <c r="E331"/>
  <c r="E332"/>
  <c r="F332" s="1"/>
  <c r="D332"/>
  <c r="D273"/>
  <c r="F273" s="1"/>
  <c r="E656"/>
  <c r="E655"/>
  <c r="D656"/>
  <c r="D655"/>
  <c r="D676"/>
  <c r="F2296"/>
  <c r="F656" s="1"/>
  <c r="D1165"/>
  <c r="D331" s="1"/>
  <c r="E1461"/>
  <c r="E1460" s="1"/>
  <c r="D1461"/>
  <c r="D1460" s="1"/>
  <c r="D27" i="269"/>
  <c r="E141" i="268"/>
  <c r="D95"/>
  <c r="D18"/>
  <c r="D17" s="1"/>
  <c r="D21"/>
  <c r="D23"/>
  <c r="F1003"/>
  <c r="F150" s="1"/>
  <c r="D150"/>
  <c r="E150"/>
  <c r="F1828"/>
  <c r="E777"/>
  <c r="E778"/>
  <c r="E779"/>
  <c r="D779"/>
  <c r="D193" s="1"/>
  <c r="D2414"/>
  <c r="F2414" s="1"/>
  <c r="D530"/>
  <c r="F1356"/>
  <c r="D45" i="269"/>
  <c r="F997" i="268"/>
  <c r="B40" i="269"/>
  <c r="E2099" i="268"/>
  <c r="D2099"/>
  <c r="D447"/>
  <c r="D445" s="1"/>
  <c r="D397"/>
  <c r="F1221"/>
  <c r="D151"/>
  <c r="D152"/>
  <c r="D62"/>
  <c r="F2134"/>
  <c r="D407"/>
  <c r="E786"/>
  <c r="F786" s="1"/>
  <c r="E787"/>
  <c r="F787" s="1"/>
  <c r="D787"/>
  <c r="D786"/>
  <c r="E605"/>
  <c r="E408"/>
  <c r="E407"/>
  <c r="E221" s="1"/>
  <c r="D408"/>
  <c r="D222" s="1"/>
  <c r="E636"/>
  <c r="F2064"/>
  <c r="D658"/>
  <c r="D657" s="1"/>
  <c r="F1228"/>
  <c r="D294"/>
  <c r="D944"/>
  <c r="D923"/>
  <c r="D922" s="1"/>
  <c r="D59"/>
  <c r="D48"/>
  <c r="C11" i="269"/>
  <c r="E326" i="268"/>
  <c r="E608"/>
  <c r="E222" s="1"/>
  <c r="D608"/>
  <c r="F1811"/>
  <c r="F145" s="1"/>
  <c r="F2252"/>
  <c r="F2253"/>
  <c r="E144"/>
  <c r="E145"/>
  <c r="D145"/>
  <c r="D28" i="269"/>
  <c r="D55" i="268"/>
  <c r="F1279"/>
  <c r="D448"/>
  <c r="F1247"/>
  <c r="D493"/>
  <c r="D492" s="1"/>
  <c r="D539"/>
  <c r="F1396"/>
  <c r="D580"/>
  <c r="F580" s="1"/>
  <c r="F1493"/>
  <c r="D1024"/>
  <c r="D268"/>
  <c r="D203" s="1"/>
  <c r="F1933"/>
  <c r="D377"/>
  <c r="F2044"/>
  <c r="D789"/>
  <c r="D788" s="1"/>
  <c r="D805"/>
  <c r="B16" i="269"/>
  <c r="B19"/>
  <c r="E447" i="268"/>
  <c r="E445" s="1"/>
  <c r="E414"/>
  <c r="D414"/>
  <c r="E1275"/>
  <c r="F1244"/>
  <c r="F414" s="1"/>
  <c r="E1240"/>
  <c r="D47"/>
  <c r="D909"/>
  <c r="D932"/>
  <c r="D77"/>
  <c r="D81"/>
  <c r="D1240"/>
  <c r="D1239" s="1"/>
  <c r="F2255"/>
  <c r="E86"/>
  <c r="E439"/>
  <c r="E1110"/>
  <c r="E807"/>
  <c r="E789"/>
  <c r="E788" s="1"/>
  <c r="E634"/>
  <c r="E610"/>
  <c r="E609" s="1"/>
  <c r="E591"/>
  <c r="E588"/>
  <c r="F2233"/>
  <c r="D2133"/>
  <c r="E440"/>
  <c r="E1319"/>
  <c r="E462"/>
  <c r="E461" s="1"/>
  <c r="D462"/>
  <c r="F1296"/>
  <c r="E1294"/>
  <c r="F1294" s="1"/>
  <c r="D1295"/>
  <c r="D1294" s="1"/>
  <c r="D460" s="1"/>
  <c r="E18" i="273"/>
  <c r="E17"/>
  <c r="D17"/>
  <c r="D16" s="1"/>
  <c r="D22" s="1"/>
  <c r="C17"/>
  <c r="D12"/>
  <c r="C12"/>
  <c r="E13"/>
  <c r="H36" i="264" s="1"/>
  <c r="D575" i="268"/>
  <c r="E99"/>
  <c r="D144"/>
  <c r="F144"/>
  <c r="F2063"/>
  <c r="E14" i="273"/>
  <c r="E15"/>
  <c r="H42" i="264" s="1"/>
  <c r="C19" i="273"/>
  <c r="C16" s="1"/>
  <c r="D19"/>
  <c r="E20"/>
  <c r="C14" i="270"/>
  <c r="C13" s="1"/>
  <c r="C12" s="1"/>
  <c r="D14"/>
  <c r="C15"/>
  <c r="D15"/>
  <c r="C17"/>
  <c r="D17"/>
  <c r="E18"/>
  <c r="E19"/>
  <c r="C20"/>
  <c r="D20"/>
  <c r="E21"/>
  <c r="C22"/>
  <c r="D22"/>
  <c r="E23"/>
  <c r="C24"/>
  <c r="E24" s="1"/>
  <c r="D24"/>
  <c r="E25"/>
  <c r="E26"/>
  <c r="C27"/>
  <c r="E27" s="1"/>
  <c r="D27"/>
  <c r="E28"/>
  <c r="E29"/>
  <c r="C30"/>
  <c r="D30"/>
  <c r="E31"/>
  <c r="C10" i="269"/>
  <c r="B12"/>
  <c r="C12"/>
  <c r="D12" s="1"/>
  <c r="D42" i="264" s="1"/>
  <c r="C14" i="269"/>
  <c r="C16"/>
  <c r="C17"/>
  <c r="C18"/>
  <c r="C19"/>
  <c r="C24"/>
  <c r="D24" s="1"/>
  <c r="D31"/>
  <c r="D18" s="1"/>
  <c r="C35"/>
  <c r="D36"/>
  <c r="D39"/>
  <c r="C40"/>
  <c r="D41"/>
  <c r="D43"/>
  <c r="D44"/>
  <c r="D46"/>
  <c r="E18" i="268"/>
  <c r="E17" s="1"/>
  <c r="E21"/>
  <c r="F21" s="1"/>
  <c r="E23"/>
  <c r="D24"/>
  <c r="E24"/>
  <c r="F24" s="1"/>
  <c r="D25"/>
  <c r="D22" s="1"/>
  <c r="D19" s="1"/>
  <c r="E25"/>
  <c r="F26"/>
  <c r="F27"/>
  <c r="F28"/>
  <c r="E31"/>
  <c r="F32"/>
  <c r="F33"/>
  <c r="D34"/>
  <c r="E34"/>
  <c r="F35"/>
  <c r="F36"/>
  <c r="F37"/>
  <c r="E38"/>
  <c r="D39"/>
  <c r="E39"/>
  <c r="D42"/>
  <c r="F42" s="1"/>
  <c r="E42"/>
  <c r="E41" s="1"/>
  <c r="E43"/>
  <c r="F44"/>
  <c r="F45"/>
  <c r="F46"/>
  <c r="E47"/>
  <c r="E48"/>
  <c r="F48" s="1"/>
  <c r="D50"/>
  <c r="F50" s="1"/>
  <c r="E50"/>
  <c r="E49" s="1"/>
  <c r="E52"/>
  <c r="D53"/>
  <c r="E53"/>
  <c r="E55"/>
  <c r="F56"/>
  <c r="F57"/>
  <c r="D58"/>
  <c r="D54" s="1"/>
  <c r="E58"/>
  <c r="E59"/>
  <c r="E62"/>
  <c r="D66"/>
  <c r="F66" s="1"/>
  <c r="E66"/>
  <c r="F67"/>
  <c r="D69"/>
  <c r="F69" s="1"/>
  <c r="E69"/>
  <c r="F70"/>
  <c r="F71"/>
  <c r="F72"/>
  <c r="D75"/>
  <c r="E75"/>
  <c r="E76"/>
  <c r="E77"/>
  <c r="D79"/>
  <c r="E79"/>
  <c r="E80"/>
  <c r="E81"/>
  <c r="D83"/>
  <c r="D82" s="1"/>
  <c r="E83"/>
  <c r="E82" s="1"/>
  <c r="F84"/>
  <c r="D87"/>
  <c r="E87"/>
  <c r="D88"/>
  <c r="E88"/>
  <c r="F88" s="1"/>
  <c r="F89"/>
  <c r="F91"/>
  <c r="D92"/>
  <c r="E92"/>
  <c r="D93"/>
  <c r="F93" s="1"/>
  <c r="E93"/>
  <c r="D94"/>
  <c r="E94"/>
  <c r="E95"/>
  <c r="D97"/>
  <c r="E97"/>
  <c r="F100"/>
  <c r="D103"/>
  <c r="F103" s="1"/>
  <c r="E103"/>
  <c r="D104"/>
  <c r="E104"/>
  <c r="D105"/>
  <c r="F105" s="1"/>
  <c r="E105"/>
  <c r="D106"/>
  <c r="E106"/>
  <c r="D107"/>
  <c r="E107"/>
  <c r="F108"/>
  <c r="C38" i="264" s="1"/>
  <c r="F110" i="268"/>
  <c r="F111"/>
  <c r="F112"/>
  <c r="D113"/>
  <c r="D109" s="1"/>
  <c r="E113"/>
  <c r="E109" s="1"/>
  <c r="F114"/>
  <c r="F115"/>
  <c r="F119"/>
  <c r="F120"/>
  <c r="F121"/>
  <c r="F122"/>
  <c r="F123"/>
  <c r="F124"/>
  <c r="F125"/>
  <c r="F126"/>
  <c r="F127"/>
  <c r="D128"/>
  <c r="E128"/>
  <c r="F129"/>
  <c r="F130"/>
  <c r="D131"/>
  <c r="E131"/>
  <c r="F132"/>
  <c r="D133"/>
  <c r="E133"/>
  <c r="F134"/>
  <c r="F135"/>
  <c r="F136"/>
  <c r="D137"/>
  <c r="E137"/>
  <c r="F138"/>
  <c r="D139"/>
  <c r="E139"/>
  <c r="D140"/>
  <c r="F140" s="1"/>
  <c r="E140"/>
  <c r="D142"/>
  <c r="E142"/>
  <c r="F148"/>
  <c r="F149"/>
  <c r="E151"/>
  <c r="E152"/>
  <c r="D153"/>
  <c r="F153" s="1"/>
  <c r="E153"/>
  <c r="E160"/>
  <c r="D161"/>
  <c r="E161"/>
  <c r="D162"/>
  <c r="E162"/>
  <c r="F162" s="1"/>
  <c r="D163"/>
  <c r="E163"/>
  <c r="D164"/>
  <c r="E164"/>
  <c r="D165"/>
  <c r="E165"/>
  <c r="D166"/>
  <c r="E166"/>
  <c r="D167"/>
  <c r="E167"/>
  <c r="F168"/>
  <c r="F173"/>
  <c r="F176"/>
  <c r="F177"/>
  <c r="F186"/>
  <c r="F187"/>
  <c r="F188"/>
  <c r="F189"/>
  <c r="F196"/>
  <c r="D197"/>
  <c r="F200"/>
  <c r="F201"/>
  <c r="F215"/>
  <c r="F216"/>
  <c r="D217"/>
  <c r="E217"/>
  <c r="F217" s="1"/>
  <c r="F218"/>
  <c r="F219"/>
  <c r="F225"/>
  <c r="F226"/>
  <c r="F227"/>
  <c r="F228"/>
  <c r="F229"/>
  <c r="F230"/>
  <c r="F231"/>
  <c r="F232"/>
  <c r="F233"/>
  <c r="F235"/>
  <c r="C57" i="264" s="1"/>
  <c r="I57" s="1"/>
  <c r="K57" s="1"/>
  <c r="F236" i="268"/>
  <c r="F237"/>
  <c r="F239"/>
  <c r="F244"/>
  <c r="F245"/>
  <c r="F246"/>
  <c r="F247"/>
  <c r="F248"/>
  <c r="E252"/>
  <c r="E253"/>
  <c r="F254"/>
  <c r="F255"/>
  <c r="F256"/>
  <c r="F257"/>
  <c r="F258"/>
  <c r="F259"/>
  <c r="F260"/>
  <c r="F261"/>
  <c r="F262"/>
  <c r="F265"/>
  <c r="F266"/>
  <c r="F267"/>
  <c r="E268"/>
  <c r="F269"/>
  <c r="F270"/>
  <c r="E272"/>
  <c r="E273"/>
  <c r="E275"/>
  <c r="E274" s="1"/>
  <c r="F276"/>
  <c r="F277"/>
  <c r="F278"/>
  <c r="F279"/>
  <c r="F280"/>
  <c r="F281"/>
  <c r="F282"/>
  <c r="F283"/>
  <c r="F284"/>
  <c r="F285"/>
  <c r="D287"/>
  <c r="D286" s="1"/>
  <c r="E287"/>
  <c r="E286" s="1"/>
  <c r="F288"/>
  <c r="E290"/>
  <c r="E289" s="1"/>
  <c r="E250" s="1"/>
  <c r="F291"/>
  <c r="E294"/>
  <c r="F294" s="1"/>
  <c r="D295"/>
  <c r="E295"/>
  <c r="D297"/>
  <c r="E297"/>
  <c r="E181" s="1"/>
  <c r="F298"/>
  <c r="F299"/>
  <c r="F300"/>
  <c r="F301"/>
  <c r="F302"/>
  <c r="F303"/>
  <c r="F304"/>
  <c r="F305"/>
  <c r="F306"/>
  <c r="F307"/>
  <c r="D308"/>
  <c r="E308"/>
  <c r="D310"/>
  <c r="D309" s="1"/>
  <c r="F309" s="1"/>
  <c r="E310"/>
  <c r="E309" s="1"/>
  <c r="F311"/>
  <c r="F312"/>
  <c r="F313"/>
  <c r="F314"/>
  <c r="F315"/>
  <c r="F316"/>
  <c r="F317"/>
  <c r="F318"/>
  <c r="F319"/>
  <c r="D321"/>
  <c r="F321" s="1"/>
  <c r="E321"/>
  <c r="E320" s="1"/>
  <c r="F322"/>
  <c r="D323"/>
  <c r="E323"/>
  <c r="F324"/>
  <c r="F325"/>
  <c r="D327"/>
  <c r="E327"/>
  <c r="F328"/>
  <c r="D334"/>
  <c r="D175" s="1"/>
  <c r="E334"/>
  <c r="E333" s="1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E368"/>
  <c r="E369"/>
  <c r="F369" s="1"/>
  <c r="D371"/>
  <c r="D370" s="1"/>
  <c r="F370" s="1"/>
  <c r="E371"/>
  <c r="E370" s="1"/>
  <c r="F372"/>
  <c r="E374"/>
  <c r="D375"/>
  <c r="E375"/>
  <c r="E377"/>
  <c r="E376" s="1"/>
  <c r="F378"/>
  <c r="F379"/>
  <c r="F380"/>
  <c r="F381"/>
  <c r="F382"/>
  <c r="F383"/>
  <c r="D385"/>
  <c r="E385"/>
  <c r="F385" s="1"/>
  <c r="F386"/>
  <c r="E388"/>
  <c r="E387" s="1"/>
  <c r="E366" s="1"/>
  <c r="E389"/>
  <c r="F389" s="1"/>
  <c r="E390"/>
  <c r="F391"/>
  <c r="F392"/>
  <c r="F393"/>
  <c r="E396"/>
  <c r="E397"/>
  <c r="F398"/>
  <c r="F399"/>
  <c r="F400"/>
  <c r="D403"/>
  <c r="D402" s="1"/>
  <c r="E403"/>
  <c r="E202" s="1"/>
  <c r="D404"/>
  <c r="E404"/>
  <c r="E204" s="1"/>
  <c r="D406"/>
  <c r="E406"/>
  <c r="E411"/>
  <c r="D412"/>
  <c r="E412"/>
  <c r="E410" s="1"/>
  <c r="D413"/>
  <c r="D211" s="1"/>
  <c r="F211" s="1"/>
  <c r="E413"/>
  <c r="E416"/>
  <c r="E214" s="1"/>
  <c r="E417"/>
  <c r="D418"/>
  <c r="D415" s="1"/>
  <c r="E418"/>
  <c r="E420"/>
  <c r="E419" s="1"/>
  <c r="F421"/>
  <c r="F422"/>
  <c r="F423"/>
  <c r="F424"/>
  <c r="F425"/>
  <c r="F426"/>
  <c r="F429"/>
  <c r="F430"/>
  <c r="D431"/>
  <c r="E431"/>
  <c r="D433"/>
  <c r="D432" s="1"/>
  <c r="E433"/>
  <c r="F434"/>
  <c r="E436"/>
  <c r="E437"/>
  <c r="F441"/>
  <c r="F442"/>
  <c r="F443"/>
  <c r="F444"/>
  <c r="F446"/>
  <c r="E448"/>
  <c r="E449"/>
  <c r="E453"/>
  <c r="D454"/>
  <c r="E454"/>
  <c r="F454" s="1"/>
  <c r="E457"/>
  <c r="D459"/>
  <c r="F459" s="1"/>
  <c r="E459"/>
  <c r="F466"/>
  <c r="D467"/>
  <c r="D465" s="1"/>
  <c r="D464" s="1"/>
  <c r="E467"/>
  <c r="D468"/>
  <c r="E468"/>
  <c r="D470"/>
  <c r="E470"/>
  <c r="D473"/>
  <c r="E473"/>
  <c r="D474"/>
  <c r="E474"/>
  <c r="D475"/>
  <c r="E475"/>
  <c r="F475" s="1"/>
  <c r="D476"/>
  <c r="F476" s="1"/>
  <c r="E476"/>
  <c r="D477"/>
  <c r="F477"/>
  <c r="E477"/>
  <c r="D478"/>
  <c r="E478"/>
  <c r="D479"/>
  <c r="F479" s="1"/>
  <c r="E479"/>
  <c r="F480"/>
  <c r="E483"/>
  <c r="D485"/>
  <c r="D484" s="1"/>
  <c r="E485"/>
  <c r="E484" s="1"/>
  <c r="F486"/>
  <c r="F489"/>
  <c r="D490"/>
  <c r="E490"/>
  <c r="E493"/>
  <c r="D495"/>
  <c r="E495"/>
  <c r="E192" s="1"/>
  <c r="F496"/>
  <c r="F497"/>
  <c r="F498"/>
  <c r="F499"/>
  <c r="F500"/>
  <c r="F502"/>
  <c r="F503"/>
  <c r="F504"/>
  <c r="E506"/>
  <c r="E505" s="1"/>
  <c r="F505" s="1"/>
  <c r="F507"/>
  <c r="F508"/>
  <c r="F509"/>
  <c r="F510"/>
  <c r="F511"/>
  <c r="F512"/>
  <c r="F513"/>
  <c r="F514"/>
  <c r="F515"/>
  <c r="D517"/>
  <c r="D516" s="1"/>
  <c r="E517"/>
  <c r="E516" s="1"/>
  <c r="F518"/>
  <c r="F520"/>
  <c r="F521"/>
  <c r="E522"/>
  <c r="E519" s="1"/>
  <c r="F523"/>
  <c r="F524"/>
  <c r="F525"/>
  <c r="F526"/>
  <c r="F527"/>
  <c r="E530"/>
  <c r="E531"/>
  <c r="E532"/>
  <c r="E534"/>
  <c r="F535"/>
  <c r="E538"/>
  <c r="E539"/>
  <c r="F539" s="1"/>
  <c r="D549"/>
  <c r="F549" s="1"/>
  <c r="E549"/>
  <c r="F550"/>
  <c r="E553"/>
  <c r="D554"/>
  <c r="F554" s="1"/>
  <c r="F555"/>
  <c r="F557"/>
  <c r="D559"/>
  <c r="D558" s="1"/>
  <c r="E559"/>
  <c r="E558" s="1"/>
  <c r="F560"/>
  <c r="F561"/>
  <c r="F562"/>
  <c r="F563"/>
  <c r="F564"/>
  <c r="F565"/>
  <c r="F568"/>
  <c r="D569"/>
  <c r="F569" s="1"/>
  <c r="E569"/>
  <c r="D571"/>
  <c r="D570" s="1"/>
  <c r="F570" s="1"/>
  <c r="E571"/>
  <c r="E570" s="1"/>
  <c r="F572"/>
  <c r="E573"/>
  <c r="E575"/>
  <c r="E574" s="1"/>
  <c r="F574" s="1"/>
  <c r="E576"/>
  <c r="F577"/>
  <c r="D578"/>
  <c r="E578"/>
  <c r="E580"/>
  <c r="E581"/>
  <c r="E582"/>
  <c r="F583"/>
  <c r="F584"/>
  <c r="F587"/>
  <c r="E590"/>
  <c r="D593"/>
  <c r="E593"/>
  <c r="E592" s="1"/>
  <c r="F596"/>
  <c r="D597"/>
  <c r="E597"/>
  <c r="D598"/>
  <c r="E598"/>
  <c r="D599"/>
  <c r="D205" s="1"/>
  <c r="E599"/>
  <c r="E205" s="1"/>
  <c r="D604"/>
  <c r="F604" s="1"/>
  <c r="E604"/>
  <c r="D605"/>
  <c r="D607"/>
  <c r="D606" s="1"/>
  <c r="E607"/>
  <c r="E606" s="1"/>
  <c r="F611"/>
  <c r="F612"/>
  <c r="F613"/>
  <c r="F614"/>
  <c r="F615"/>
  <c r="F616"/>
  <c r="F617"/>
  <c r="F618"/>
  <c r="F619"/>
  <c r="F622"/>
  <c r="D623"/>
  <c r="E623"/>
  <c r="E624"/>
  <c r="D626"/>
  <c r="D625" s="1"/>
  <c r="F625" s="1"/>
  <c r="E626"/>
  <c r="E625" s="1"/>
  <c r="F627"/>
  <c r="F630"/>
  <c r="D632"/>
  <c r="D631" s="1"/>
  <c r="E632"/>
  <c r="E631" s="1"/>
  <c r="F633"/>
  <c r="F635"/>
  <c r="F637"/>
  <c r="F638"/>
  <c r="F641"/>
  <c r="E642"/>
  <c r="F643"/>
  <c r="F644"/>
  <c r="F645"/>
  <c r="D648"/>
  <c r="E648"/>
  <c r="F648" s="1"/>
  <c r="F650"/>
  <c r="D651"/>
  <c r="E651"/>
  <c r="E653"/>
  <c r="E654"/>
  <c r="E658"/>
  <c r="F659"/>
  <c r="F660"/>
  <c r="F661"/>
  <c r="F662"/>
  <c r="F663"/>
  <c r="F664"/>
  <c r="F665"/>
  <c r="F666"/>
  <c r="F667"/>
  <c r="F668"/>
  <c r="F669"/>
  <c r="F670"/>
  <c r="F671"/>
  <c r="F674"/>
  <c r="E676"/>
  <c r="D677"/>
  <c r="E677"/>
  <c r="E678"/>
  <c r="E679"/>
  <c r="F680"/>
  <c r="F681"/>
  <c r="F684"/>
  <c r="D685"/>
  <c r="E685"/>
  <c r="F687"/>
  <c r="F688"/>
  <c r="F689"/>
  <c r="F690"/>
  <c r="D691"/>
  <c r="E691"/>
  <c r="E683" s="1"/>
  <c r="F692"/>
  <c r="D694"/>
  <c r="E694"/>
  <c r="F695"/>
  <c r="F696"/>
  <c r="F697"/>
  <c r="F698"/>
  <c r="F699"/>
  <c r="F700"/>
  <c r="F701"/>
  <c r="F702"/>
  <c r="D703"/>
  <c r="E703"/>
  <c r="F704"/>
  <c r="F706"/>
  <c r="F707"/>
  <c r="F708"/>
  <c r="F709"/>
  <c r="F710"/>
  <c r="D711"/>
  <c r="D705" s="1"/>
  <c r="F705" s="1"/>
  <c r="E711"/>
  <c r="E705" s="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4"/>
  <c r="D745"/>
  <c r="E745"/>
  <c r="F746"/>
  <c r="F747"/>
  <c r="F748"/>
  <c r="D749"/>
  <c r="E749"/>
  <c r="D750"/>
  <c r="F750" s="1"/>
  <c r="E750"/>
  <c r="F751"/>
  <c r="F752"/>
  <c r="F753"/>
  <c r="F754"/>
  <c r="F755"/>
  <c r="F756"/>
  <c r="F757"/>
  <c r="F758"/>
  <c r="F759"/>
  <c r="D760"/>
  <c r="E760"/>
  <c r="D762"/>
  <c r="E762"/>
  <c r="D765"/>
  <c r="E765"/>
  <c r="D766"/>
  <c r="E766"/>
  <c r="D768"/>
  <c r="E768"/>
  <c r="F768" s="1"/>
  <c r="D769"/>
  <c r="E769"/>
  <c r="F770"/>
  <c r="F773"/>
  <c r="E774"/>
  <c r="E776"/>
  <c r="E179" s="1"/>
  <c r="D782"/>
  <c r="E782"/>
  <c r="E780" s="1"/>
  <c r="F783"/>
  <c r="D785"/>
  <c r="E785"/>
  <c r="F790"/>
  <c r="F791"/>
  <c r="F792"/>
  <c r="F793"/>
  <c r="F794"/>
  <c r="F795"/>
  <c r="F796"/>
  <c r="F797"/>
  <c r="D800"/>
  <c r="D799" s="1"/>
  <c r="D798" s="1"/>
  <c r="E800"/>
  <c r="D801"/>
  <c r="E801"/>
  <c r="D803"/>
  <c r="D802" s="1"/>
  <c r="E803"/>
  <c r="E802" s="1"/>
  <c r="E805"/>
  <c r="F805" s="1"/>
  <c r="E806"/>
  <c r="F808"/>
  <c r="F809"/>
  <c r="E810"/>
  <c r="F811"/>
  <c r="F812"/>
  <c r="F813"/>
  <c r="D814"/>
  <c r="E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9"/>
  <c r="D850"/>
  <c r="D848" s="1"/>
  <c r="F848" s="1"/>
  <c r="E850"/>
  <c r="E848" s="1"/>
  <c r="F851"/>
  <c r="F852"/>
  <c r="F853"/>
  <c r="F854"/>
  <c r="F855"/>
  <c r="F856"/>
  <c r="F857"/>
  <c r="F858"/>
  <c r="F859"/>
  <c r="F860"/>
  <c r="F861"/>
  <c r="F862"/>
  <c r="F863"/>
  <c r="D864"/>
  <c r="D847" s="1"/>
  <c r="E864"/>
  <c r="F866"/>
  <c r="F867"/>
  <c r="D875"/>
  <c r="E875"/>
  <c r="E874" s="1"/>
  <c r="E878"/>
  <c r="D880"/>
  <c r="E880"/>
  <c r="F25"/>
  <c r="E899"/>
  <c r="D907"/>
  <c r="E907"/>
  <c r="E909"/>
  <c r="E912"/>
  <c r="F913"/>
  <c r="F914"/>
  <c r="F915"/>
  <c r="F916"/>
  <c r="E919"/>
  <c r="E918" s="1"/>
  <c r="E923"/>
  <c r="E922" s="1"/>
  <c r="F924"/>
  <c r="F925"/>
  <c r="F927"/>
  <c r="F928"/>
  <c r="F929"/>
  <c r="F930"/>
  <c r="E932"/>
  <c r="F933"/>
  <c r="F935"/>
  <c r="F937"/>
  <c r="F938"/>
  <c r="F940"/>
  <c r="D941"/>
  <c r="F941" s="1"/>
  <c r="E941"/>
  <c r="F942"/>
  <c r="F943"/>
  <c r="F946"/>
  <c r="F947"/>
  <c r="F948"/>
  <c r="E949"/>
  <c r="F950"/>
  <c r="F951"/>
  <c r="F952"/>
  <c r="F953"/>
  <c r="F956"/>
  <c r="F958"/>
  <c r="F959"/>
  <c r="D961"/>
  <c r="F961" s="1"/>
  <c r="E961"/>
  <c r="E960" s="1"/>
  <c r="F962"/>
  <c r="F963"/>
  <c r="F964"/>
  <c r="F965"/>
  <c r="F966"/>
  <c r="F967"/>
  <c r="D968"/>
  <c r="E968"/>
  <c r="F968" s="1"/>
  <c r="F969"/>
  <c r="F970"/>
  <c r="F971"/>
  <c r="F972"/>
  <c r="F973"/>
  <c r="F974"/>
  <c r="E977"/>
  <c r="F978"/>
  <c r="F979"/>
  <c r="F980"/>
  <c r="F981"/>
  <c r="F982"/>
  <c r="F983"/>
  <c r="F984"/>
  <c r="F985"/>
  <c r="F986"/>
  <c r="F987"/>
  <c r="F988"/>
  <c r="F989"/>
  <c r="F990"/>
  <c r="F991"/>
  <c r="F992"/>
  <c r="F993"/>
  <c r="F994"/>
  <c r="F995"/>
  <c r="F996"/>
  <c r="F999"/>
  <c r="D1000"/>
  <c r="E1000"/>
  <c r="E976" s="1"/>
  <c r="E975" s="1"/>
  <c r="F1001"/>
  <c r="F1002"/>
  <c r="F1004"/>
  <c r="F1005"/>
  <c r="D1006"/>
  <c r="F1006" s="1"/>
  <c r="E1006"/>
  <c r="F1007"/>
  <c r="F1008"/>
  <c r="F1009"/>
  <c r="F1010"/>
  <c r="F1011"/>
  <c r="F1012"/>
  <c r="F1013"/>
  <c r="E1016"/>
  <c r="E1017"/>
  <c r="F1018"/>
  <c r="D1020"/>
  <c r="E1020"/>
  <c r="F1021"/>
  <c r="F1022"/>
  <c r="E1024"/>
  <c r="F1025"/>
  <c r="F1026"/>
  <c r="E1030"/>
  <c r="F1031"/>
  <c r="F1032"/>
  <c r="F1033"/>
  <c r="F1034"/>
  <c r="D1036"/>
  <c r="F1036" s="1"/>
  <c r="E1036"/>
  <c r="F1039"/>
  <c r="D1040"/>
  <c r="E1040"/>
  <c r="D1041"/>
  <c r="E1041"/>
  <c r="F1041" s="1"/>
  <c r="D1042"/>
  <c r="F1042" s="1"/>
  <c r="E1042"/>
  <c r="F1043"/>
  <c r="F1044"/>
  <c r="D1045"/>
  <c r="F1045" s="1"/>
  <c r="E1045"/>
  <c r="D1046"/>
  <c r="E1046"/>
  <c r="E1050"/>
  <c r="F1050" s="1"/>
  <c r="D1051"/>
  <c r="E1051"/>
  <c r="F1052"/>
  <c r="E1054"/>
  <c r="F1054" s="1"/>
  <c r="F1055"/>
  <c r="E1056"/>
  <c r="E1057"/>
  <c r="F1058"/>
  <c r="D1059"/>
  <c r="E1059"/>
  <c r="F1062"/>
  <c r="F1063"/>
  <c r="F1064"/>
  <c r="F1065"/>
  <c r="F1066"/>
  <c r="F1067"/>
  <c r="F1068"/>
  <c r="F1069"/>
  <c r="F1070"/>
  <c r="F1072"/>
  <c r="F1073"/>
  <c r="F1074"/>
  <c r="F1076"/>
  <c r="D1077"/>
  <c r="E1077"/>
  <c r="D1079"/>
  <c r="E1079"/>
  <c r="F1080"/>
  <c r="F1081"/>
  <c r="F1082"/>
  <c r="F1083"/>
  <c r="F1084"/>
  <c r="F1090"/>
  <c r="F1091"/>
  <c r="F1092"/>
  <c r="F1093"/>
  <c r="F1094"/>
  <c r="F1095"/>
  <c r="F1096"/>
  <c r="E1097"/>
  <c r="E1087" s="1"/>
  <c r="D1101"/>
  <c r="E1101"/>
  <c r="E1100" s="1"/>
  <c r="F1102"/>
  <c r="F1103"/>
  <c r="F1104"/>
  <c r="F1105"/>
  <c r="D1106"/>
  <c r="E1106"/>
  <c r="F1107"/>
  <c r="D1108"/>
  <c r="E1108"/>
  <c r="F1109"/>
  <c r="D1110"/>
  <c r="F1110" s="1"/>
  <c r="F1111"/>
  <c r="F1112"/>
  <c r="F1113"/>
  <c r="F1114"/>
  <c r="F1115"/>
  <c r="F1116"/>
  <c r="F1117"/>
  <c r="F1118"/>
  <c r="F1119"/>
  <c r="D1120"/>
  <c r="E1120"/>
  <c r="F1121"/>
  <c r="F1122"/>
  <c r="E1123"/>
  <c r="E1086" s="1"/>
  <c r="F1125"/>
  <c r="F1129"/>
  <c r="D1127"/>
  <c r="E1130"/>
  <c r="E296"/>
  <c r="E293" s="1"/>
  <c r="F1131"/>
  <c r="F1132"/>
  <c r="F1133"/>
  <c r="F1134"/>
  <c r="F1135"/>
  <c r="F1136"/>
  <c r="F1137"/>
  <c r="F1138"/>
  <c r="F1139"/>
  <c r="F1140"/>
  <c r="F1141"/>
  <c r="F1142"/>
  <c r="F308" s="1"/>
  <c r="F1143"/>
  <c r="F1144"/>
  <c r="F1145"/>
  <c r="F1146"/>
  <c r="F1147"/>
  <c r="F1148"/>
  <c r="F1149"/>
  <c r="F1150"/>
  <c r="F1151"/>
  <c r="F1152"/>
  <c r="F1153"/>
  <c r="D1154"/>
  <c r="E1154"/>
  <c r="F1155"/>
  <c r="F1156"/>
  <c r="F1157"/>
  <c r="F1158"/>
  <c r="F1159"/>
  <c r="F1161"/>
  <c r="F1162"/>
  <c r="F1165"/>
  <c r="F1166"/>
  <c r="D1167"/>
  <c r="D1019" s="1"/>
  <c r="E1167"/>
  <c r="E1164" s="1"/>
  <c r="E1163" s="1"/>
  <c r="F1168"/>
  <c r="F1169"/>
  <c r="F1170"/>
  <c r="F1171"/>
  <c r="F1172"/>
  <c r="F1173"/>
  <c r="F1174"/>
  <c r="F1175"/>
  <c r="F1176"/>
  <c r="F1177"/>
  <c r="F1178"/>
  <c r="F1179"/>
  <c r="F1180"/>
  <c r="F1181"/>
  <c r="F1182"/>
  <c r="F1183"/>
  <c r="F1184"/>
  <c r="F1185"/>
  <c r="F1186"/>
  <c r="F1187"/>
  <c r="F1188"/>
  <c r="F1189"/>
  <c r="F1190"/>
  <c r="F1191"/>
  <c r="F1192"/>
  <c r="F1193"/>
  <c r="F1194"/>
  <c r="F1195"/>
  <c r="F1196"/>
  <c r="F1197"/>
  <c r="F1198"/>
  <c r="F1199"/>
  <c r="D1205"/>
  <c r="D1204" s="1"/>
  <c r="E1205"/>
  <c r="E1204"/>
  <c r="E1201" s="1"/>
  <c r="F1206"/>
  <c r="F1207"/>
  <c r="F375" s="1"/>
  <c r="D1210"/>
  <c r="E1210"/>
  <c r="E1209" s="1"/>
  <c r="E1208" s="1"/>
  <c r="F1208" s="1"/>
  <c r="F1211"/>
  <c r="F1212"/>
  <c r="F1213"/>
  <c r="F1214"/>
  <c r="F1215"/>
  <c r="D1216"/>
  <c r="E1216"/>
  <c r="F1217"/>
  <c r="F1218"/>
  <c r="E1219"/>
  <c r="E1200" s="1"/>
  <c r="F1222"/>
  <c r="F1223"/>
  <c r="F1224"/>
  <c r="F1225"/>
  <c r="F1230"/>
  <c r="F1231"/>
  <c r="F1232"/>
  <c r="D1234"/>
  <c r="E1234"/>
  <c r="F1235"/>
  <c r="F1236"/>
  <c r="F1237"/>
  <c r="F1238"/>
  <c r="E1239"/>
  <c r="F1239" s="1"/>
  <c r="F1242"/>
  <c r="F1243"/>
  <c r="E1245"/>
  <c r="F1248"/>
  <c r="D1250"/>
  <c r="E1250"/>
  <c r="E1249" s="1"/>
  <c r="F1251"/>
  <c r="F1252"/>
  <c r="F1253"/>
  <c r="F1254"/>
  <c r="F1255"/>
  <c r="F1256"/>
  <c r="F1257"/>
  <c r="D1258"/>
  <c r="E1258"/>
  <c r="F1259"/>
  <c r="F1260"/>
  <c r="F1261"/>
  <c r="D1262"/>
  <c r="E1262"/>
  <c r="F1263"/>
  <c r="F1264"/>
  <c r="E1265"/>
  <c r="F1267"/>
  <c r="F1271"/>
  <c r="F1272"/>
  <c r="F1273"/>
  <c r="F1274"/>
  <c r="F1276"/>
  <c r="F1277"/>
  <c r="F447" s="1"/>
  <c r="F445" s="1"/>
  <c r="F1280"/>
  <c r="F1284"/>
  <c r="E1286"/>
  <c r="F1286" s="1"/>
  <c r="D457"/>
  <c r="D456" s="1"/>
  <c r="F1287"/>
  <c r="D1288"/>
  <c r="F1288" s="1"/>
  <c r="E1288"/>
  <c r="E1285" s="1"/>
  <c r="F1289"/>
  <c r="D1291"/>
  <c r="D1290" s="1"/>
  <c r="E1291"/>
  <c r="E1290" s="1"/>
  <c r="F1292"/>
  <c r="F1293"/>
  <c r="D1297"/>
  <c r="D469" s="1"/>
  <c r="E1297"/>
  <c r="F1298"/>
  <c r="F1299"/>
  <c r="F1300"/>
  <c r="F1301"/>
  <c r="F1302"/>
  <c r="F1303"/>
  <c r="F1304"/>
  <c r="F1305"/>
  <c r="F1306"/>
  <c r="F1307"/>
  <c r="E1308"/>
  <c r="E1281" s="1"/>
  <c r="D1308"/>
  <c r="D1311"/>
  <c r="E1311"/>
  <c r="F1312"/>
  <c r="F1313"/>
  <c r="F1316"/>
  <c r="F1317"/>
  <c r="F1321"/>
  <c r="F1322"/>
  <c r="F1323"/>
  <c r="F1324"/>
  <c r="F1325"/>
  <c r="E1326"/>
  <c r="E501" s="1"/>
  <c r="F1329"/>
  <c r="F1330"/>
  <c r="F1331"/>
  <c r="F1332"/>
  <c r="F1333"/>
  <c r="F1334"/>
  <c r="F1335"/>
  <c r="F1336"/>
  <c r="F1337"/>
  <c r="F1338"/>
  <c r="F1339"/>
  <c r="F1340"/>
  <c r="D1341"/>
  <c r="E1341"/>
  <c r="F1342"/>
  <c r="F1343"/>
  <c r="D1344"/>
  <c r="E1344"/>
  <c r="F1345"/>
  <c r="F1346"/>
  <c r="F1348"/>
  <c r="F1349"/>
  <c r="F1350"/>
  <c r="F1351"/>
  <c r="F1352"/>
  <c r="F1353"/>
  <c r="E1354"/>
  <c r="D531"/>
  <c r="F1357"/>
  <c r="F1358"/>
  <c r="F1360"/>
  <c r="F1365"/>
  <c r="F1366"/>
  <c r="F1367"/>
  <c r="F1368"/>
  <c r="F1369"/>
  <c r="F1370"/>
  <c r="F1371"/>
  <c r="F1372"/>
  <c r="D1373"/>
  <c r="E1373"/>
  <c r="F1374"/>
  <c r="E1376"/>
  <c r="E1375" s="1"/>
  <c r="F1378"/>
  <c r="F1379"/>
  <c r="D1381"/>
  <c r="D1384"/>
  <c r="D1383" s="1"/>
  <c r="D1382" s="1"/>
  <c r="E1384"/>
  <c r="F1385"/>
  <c r="F1386"/>
  <c r="F1387"/>
  <c r="F1388"/>
  <c r="F1389"/>
  <c r="F1390"/>
  <c r="F1391"/>
  <c r="F1392"/>
  <c r="D1393"/>
  <c r="F1393" s="1"/>
  <c r="E1393"/>
  <c r="F1394"/>
  <c r="F1395"/>
  <c r="D573"/>
  <c r="D1397"/>
  <c r="E1397"/>
  <c r="F1400"/>
  <c r="F1401"/>
  <c r="E1402"/>
  <c r="D581"/>
  <c r="F1406"/>
  <c r="F1407"/>
  <c r="F1410"/>
  <c r="E1413"/>
  <c r="E1412" s="1"/>
  <c r="D1416"/>
  <c r="E1416"/>
  <c r="E1415" s="1"/>
  <c r="F1417"/>
  <c r="F1418"/>
  <c r="F1419"/>
  <c r="F1420"/>
  <c r="D1421"/>
  <c r="E1421"/>
  <c r="F1421" s="1"/>
  <c r="F1422"/>
  <c r="D1423"/>
  <c r="E1423"/>
  <c r="F1424"/>
  <c r="D1425"/>
  <c r="E1425"/>
  <c r="F1426"/>
  <c r="F1427"/>
  <c r="F1428"/>
  <c r="F1429"/>
  <c r="F1430"/>
  <c r="F1431"/>
  <c r="F1432"/>
  <c r="F1433"/>
  <c r="F1434"/>
  <c r="F1435"/>
  <c r="D1437"/>
  <c r="D1436" s="1"/>
  <c r="E1437"/>
  <c r="F1438"/>
  <c r="F1439"/>
  <c r="D1440"/>
  <c r="F1440" s="1"/>
  <c r="E1440"/>
  <c r="F1441"/>
  <c r="F1442"/>
  <c r="D1443"/>
  <c r="D1408" s="1"/>
  <c r="E1443"/>
  <c r="F1444"/>
  <c r="F1445"/>
  <c r="D1446"/>
  <c r="E1446"/>
  <c r="F1447"/>
  <c r="F1448"/>
  <c r="F1449"/>
  <c r="F1450"/>
  <c r="F1452"/>
  <c r="F1455"/>
  <c r="F1457"/>
  <c r="F1458"/>
  <c r="F1459"/>
  <c r="D1466"/>
  <c r="D1047" s="1"/>
  <c r="E1466"/>
  <c r="F1467"/>
  <c r="D1468"/>
  <c r="E1468"/>
  <c r="F1468" s="1"/>
  <c r="F1469"/>
  <c r="F1470"/>
  <c r="F1471"/>
  <c r="F1472"/>
  <c r="F1473"/>
  <c r="F1474"/>
  <c r="F1475"/>
  <c r="F1476"/>
  <c r="F1477"/>
  <c r="F1478"/>
  <c r="F1479"/>
  <c r="F1480"/>
  <c r="F1481"/>
  <c r="F1482"/>
  <c r="F1483"/>
  <c r="E1484"/>
  <c r="E652" s="1"/>
  <c r="E1490"/>
  <c r="E1453" s="1"/>
  <c r="F1492"/>
  <c r="D679"/>
  <c r="F1494"/>
  <c r="F1495"/>
  <c r="D1496"/>
  <c r="E1496"/>
  <c r="F1498"/>
  <c r="F1499"/>
  <c r="D1501"/>
  <c r="E1501"/>
  <c r="E1500" s="1"/>
  <c r="E686" s="1"/>
  <c r="F1502"/>
  <c r="F1503"/>
  <c r="F1504"/>
  <c r="F1505"/>
  <c r="F1506"/>
  <c r="D1507"/>
  <c r="E1507"/>
  <c r="F1508"/>
  <c r="F1509"/>
  <c r="F1510"/>
  <c r="F1511"/>
  <c r="F1512"/>
  <c r="F1513"/>
  <c r="F1514"/>
  <c r="F1515"/>
  <c r="F1516"/>
  <c r="D1517"/>
  <c r="F1517" s="1"/>
  <c r="E1517"/>
  <c r="F1518"/>
  <c r="D1519"/>
  <c r="E1519"/>
  <c r="F1520"/>
  <c r="F1521"/>
  <c r="F1522"/>
  <c r="F1523"/>
  <c r="F1524"/>
  <c r="F1525"/>
  <c r="F1526"/>
  <c r="F1527"/>
  <c r="F1528"/>
  <c r="F1529"/>
  <c r="F1530"/>
  <c r="F1531"/>
  <c r="F1532"/>
  <c r="F1533"/>
  <c r="F1534"/>
  <c r="F1535"/>
  <c r="F1536"/>
  <c r="F1537"/>
  <c r="F1538"/>
  <c r="F1539"/>
  <c r="F1540"/>
  <c r="F1541"/>
  <c r="F1542"/>
  <c r="F1543"/>
  <c r="F1544"/>
  <c r="F1545"/>
  <c r="F1546"/>
  <c r="F1547"/>
  <c r="F1548"/>
  <c r="F1549"/>
  <c r="F1550"/>
  <c r="F1551"/>
  <c r="F1552"/>
  <c r="F1553"/>
  <c r="F1554"/>
  <c r="F1555"/>
  <c r="F1558"/>
  <c r="F1559"/>
  <c r="F1560"/>
  <c r="F1561"/>
  <c r="F1562"/>
  <c r="D1563"/>
  <c r="E1563"/>
  <c r="E1557" s="1"/>
  <c r="F1564"/>
  <c r="F1565"/>
  <c r="F1566"/>
  <c r="F1567"/>
  <c r="F1568"/>
  <c r="F1569"/>
  <c r="F1570"/>
  <c r="F1571"/>
  <c r="F1572"/>
  <c r="F1573"/>
  <c r="F1574"/>
  <c r="F1575"/>
  <c r="D1577"/>
  <c r="E1577"/>
  <c r="E1576" s="1"/>
  <c r="F1578"/>
  <c r="D1579"/>
  <c r="E1579"/>
  <c r="E1556" s="1"/>
  <c r="F1580"/>
  <c r="F1581"/>
  <c r="F1582"/>
  <c r="F1585"/>
  <c r="E1587"/>
  <c r="F1589"/>
  <c r="F1590"/>
  <c r="F1591"/>
  <c r="F1592"/>
  <c r="F1593"/>
  <c r="F1594"/>
  <c r="F1595"/>
  <c r="F1596"/>
  <c r="F1597"/>
  <c r="F1598"/>
  <c r="D1599"/>
  <c r="F1599" s="1"/>
  <c r="E1599"/>
  <c r="F1600"/>
  <c r="F1601"/>
  <c r="F1602"/>
  <c r="F1603"/>
  <c r="F1604"/>
  <c r="F1605"/>
  <c r="F1606"/>
  <c r="F1607"/>
  <c r="F1608"/>
  <c r="D1610"/>
  <c r="D1609" s="1"/>
  <c r="E1610"/>
  <c r="E1609" s="1"/>
  <c r="F1611"/>
  <c r="F1612"/>
  <c r="F1613"/>
  <c r="F1614"/>
  <c r="E1615"/>
  <c r="E1583" s="1"/>
  <c r="F1616"/>
  <c r="F1619"/>
  <c r="F1620"/>
  <c r="F1621"/>
  <c r="F1622"/>
  <c r="F1623"/>
  <c r="F1624"/>
  <c r="F1625"/>
  <c r="F1626"/>
  <c r="F1627"/>
  <c r="F1628"/>
  <c r="F1629"/>
  <c r="F1630"/>
  <c r="F1631"/>
  <c r="F1632"/>
  <c r="F1633"/>
  <c r="F1634"/>
  <c r="F1635"/>
  <c r="F1636"/>
  <c r="F1637"/>
  <c r="F1638"/>
  <c r="F1639"/>
  <c r="F1640"/>
  <c r="F1641"/>
  <c r="F1642"/>
  <c r="F1643"/>
  <c r="F1644"/>
  <c r="F1645"/>
  <c r="F1646"/>
  <c r="F1647"/>
  <c r="F1648"/>
  <c r="F1649"/>
  <c r="F1650"/>
  <c r="F1651"/>
  <c r="F1652"/>
  <c r="F1653"/>
  <c r="F1654"/>
  <c r="F1655"/>
  <c r="F1656"/>
  <c r="F1657"/>
  <c r="D1658"/>
  <c r="E1658"/>
  <c r="F1658" s="1"/>
  <c r="D1659"/>
  <c r="F1659" s="1"/>
  <c r="E1659"/>
  <c r="F1660"/>
  <c r="F1661"/>
  <c r="F1662"/>
  <c r="F1663"/>
  <c r="F1664"/>
  <c r="F1665"/>
  <c r="F1666"/>
  <c r="F1667"/>
  <c r="F1668"/>
  <c r="F1669"/>
  <c r="F1670"/>
  <c r="F1671"/>
  <c r="F1672"/>
  <c r="F1673"/>
  <c r="F1674"/>
  <c r="F1675"/>
  <c r="D1685"/>
  <c r="E1685"/>
  <c r="E1684" s="1"/>
  <c r="F1686"/>
  <c r="D1688"/>
  <c r="E1688"/>
  <c r="E1687" s="1"/>
  <c r="F1689"/>
  <c r="D1690"/>
  <c r="D1687" s="1"/>
  <c r="E1690"/>
  <c r="F1691"/>
  <c r="F1692"/>
  <c r="F1693"/>
  <c r="F1694"/>
  <c r="F1695"/>
  <c r="D1697"/>
  <c r="E1697"/>
  <c r="E1696" s="1"/>
  <c r="F1698"/>
  <c r="F1699"/>
  <c r="F1700"/>
  <c r="F1701"/>
  <c r="F1702"/>
  <c r="F1703"/>
  <c r="F1704"/>
  <c r="F1705"/>
  <c r="F1706"/>
  <c r="D1708"/>
  <c r="E1708"/>
  <c r="F1709"/>
  <c r="F1710"/>
  <c r="F1711"/>
  <c r="F1712"/>
  <c r="F1713"/>
  <c r="F1714"/>
  <c r="F1715"/>
  <c r="D1716"/>
  <c r="F1716" s="1"/>
  <c r="E1716"/>
  <c r="F1717"/>
  <c r="D1718"/>
  <c r="E1718"/>
  <c r="F1719"/>
  <c r="F1720"/>
  <c r="D1721"/>
  <c r="F1721" s="1"/>
  <c r="E1721"/>
  <c r="F1722"/>
  <c r="F1723"/>
  <c r="F1724"/>
  <c r="F1725"/>
  <c r="F1726"/>
  <c r="D1728"/>
  <c r="D1727" s="1"/>
  <c r="E1728"/>
  <c r="E1727" s="1"/>
  <c r="F1729"/>
  <c r="D1732"/>
  <c r="E1732"/>
  <c r="E1731" s="1"/>
  <c r="F1733"/>
  <c r="F1734"/>
  <c r="F1735"/>
  <c r="F1736"/>
  <c r="F1737"/>
  <c r="F1738"/>
  <c r="F1739"/>
  <c r="D1741"/>
  <c r="E1741"/>
  <c r="F1742"/>
  <c r="F1743"/>
  <c r="F1744"/>
  <c r="F1745"/>
  <c r="F1746"/>
  <c r="F1747"/>
  <c r="F1748"/>
  <c r="D1749"/>
  <c r="F1749" s="1"/>
  <c r="E1749"/>
  <c r="F1750"/>
  <c r="F1751"/>
  <c r="D1752"/>
  <c r="F1752" s="1"/>
  <c r="E1752"/>
  <c r="F1753"/>
  <c r="F1754"/>
  <c r="F1755"/>
  <c r="F1756"/>
  <c r="D1757"/>
  <c r="E1757"/>
  <c r="F1758"/>
  <c r="F1759"/>
  <c r="F1760"/>
  <c r="F1761"/>
  <c r="F1762"/>
  <c r="F1764"/>
  <c r="D1767"/>
  <c r="D1766" s="1"/>
  <c r="E1767"/>
  <c r="E1766" s="1"/>
  <c r="F1768"/>
  <c r="F1769"/>
  <c r="F1770"/>
  <c r="F1771"/>
  <c r="F1772"/>
  <c r="F1773"/>
  <c r="D1774"/>
  <c r="E1774"/>
  <c r="F1775"/>
  <c r="F1776"/>
  <c r="F1777"/>
  <c r="F1778"/>
  <c r="F1779"/>
  <c r="F1780"/>
  <c r="F1784"/>
  <c r="F1785"/>
  <c r="F1786"/>
  <c r="F1787"/>
  <c r="F1788"/>
  <c r="F1789"/>
  <c r="F1790"/>
  <c r="F1791"/>
  <c r="F1792"/>
  <c r="F1793"/>
  <c r="F1794"/>
  <c r="F1795"/>
  <c r="F1796"/>
  <c r="F1797"/>
  <c r="F1798"/>
  <c r="F1799"/>
  <c r="F1800"/>
  <c r="F1801"/>
  <c r="F1802"/>
  <c r="F1803"/>
  <c r="F1804"/>
  <c r="F1805"/>
  <c r="F1806"/>
  <c r="F1807"/>
  <c r="F1808"/>
  <c r="E1813"/>
  <c r="E1782" s="1"/>
  <c r="E1781" s="1"/>
  <c r="F1814"/>
  <c r="F1815"/>
  <c r="F1816"/>
  <c r="F1817"/>
  <c r="F151" s="1"/>
  <c r="F1818"/>
  <c r="E1827"/>
  <c r="F1829"/>
  <c r="F1830"/>
  <c r="F1831"/>
  <c r="F1832"/>
  <c r="F1833"/>
  <c r="F1834"/>
  <c r="F1835"/>
  <c r="F1836"/>
  <c r="D1839"/>
  <c r="E1839"/>
  <c r="D1840"/>
  <c r="F1840" s="1"/>
  <c r="E1840"/>
  <c r="F1841"/>
  <c r="D1843"/>
  <c r="F1843" s="1"/>
  <c r="E1843"/>
  <c r="F1844"/>
  <c r="F1845"/>
  <c r="D1847"/>
  <c r="E1847"/>
  <c r="F1848"/>
  <c r="F1849"/>
  <c r="D1852"/>
  <c r="E1852"/>
  <c r="D1853"/>
  <c r="E1853"/>
  <c r="F1853" s="1"/>
  <c r="F1854"/>
  <c r="F1855"/>
  <c r="F1856"/>
  <c r="F1857"/>
  <c r="D1859"/>
  <c r="F1859" s="1"/>
  <c r="E1859"/>
  <c r="F1862"/>
  <c r="D1863"/>
  <c r="E1863"/>
  <c r="D1864"/>
  <c r="E1864"/>
  <c r="D1865"/>
  <c r="E1865"/>
  <c r="F1866"/>
  <c r="F1867"/>
  <c r="D1868"/>
  <c r="E1868"/>
  <c r="E1869"/>
  <c r="D1873"/>
  <c r="E1873"/>
  <c r="D1874"/>
  <c r="F1874" s="1"/>
  <c r="E1874"/>
  <c r="F1875"/>
  <c r="D1877"/>
  <c r="F1877" s="1"/>
  <c r="E1877"/>
  <c r="F1878"/>
  <c r="D1879"/>
  <c r="E1879"/>
  <c r="D1880"/>
  <c r="E1880"/>
  <c r="F1881"/>
  <c r="D1882"/>
  <c r="E1882"/>
  <c r="E1884"/>
  <c r="F1885"/>
  <c r="F1886"/>
  <c r="F1887"/>
  <c r="F1888"/>
  <c r="F1889"/>
  <c r="F1890"/>
  <c r="F1891"/>
  <c r="F1892"/>
  <c r="F1893"/>
  <c r="F1895"/>
  <c r="F1896"/>
  <c r="F1897"/>
  <c r="F1899"/>
  <c r="E1900"/>
  <c r="D1902"/>
  <c r="E1902"/>
  <c r="F1903"/>
  <c r="F1904"/>
  <c r="F1905"/>
  <c r="F1906"/>
  <c r="F1907"/>
  <c r="F1911"/>
  <c r="F1912"/>
  <c r="F1913"/>
  <c r="F1914"/>
  <c r="F1915"/>
  <c r="F1916"/>
  <c r="F1917"/>
  <c r="F1918"/>
  <c r="F1919"/>
  <c r="F1920"/>
  <c r="F1921"/>
  <c r="E1923"/>
  <c r="F1924"/>
  <c r="F1925"/>
  <c r="F1926"/>
  <c r="F1928"/>
  <c r="F1929"/>
  <c r="D1930"/>
  <c r="E1930"/>
  <c r="F1931"/>
  <c r="E1932"/>
  <c r="D275"/>
  <c r="F1934"/>
  <c r="F1935"/>
  <c r="F1936"/>
  <c r="F1937"/>
  <c r="F1938"/>
  <c r="F1939"/>
  <c r="F1940"/>
  <c r="F1941"/>
  <c r="F1942"/>
  <c r="F1943"/>
  <c r="D1944"/>
  <c r="E1944"/>
  <c r="F1945"/>
  <c r="F1946"/>
  <c r="E1947"/>
  <c r="E1909" s="1"/>
  <c r="F1949"/>
  <c r="D1950"/>
  <c r="E1950"/>
  <c r="D1951"/>
  <c r="E1951"/>
  <c r="F1952"/>
  <c r="F1953"/>
  <c r="F1954"/>
  <c r="F1955"/>
  <c r="F1956"/>
  <c r="F1957"/>
  <c r="F1958"/>
  <c r="F1959"/>
  <c r="F1960"/>
  <c r="F1961"/>
  <c r="F1962"/>
  <c r="F1963"/>
  <c r="F1964"/>
  <c r="F1965"/>
  <c r="D1966"/>
  <c r="E1966"/>
  <c r="F1967"/>
  <c r="F1968"/>
  <c r="F1969"/>
  <c r="F1970"/>
  <c r="F1971"/>
  <c r="F1972"/>
  <c r="F1973"/>
  <c r="F1974"/>
  <c r="F1975"/>
  <c r="F1976"/>
  <c r="F1977"/>
  <c r="F1978"/>
  <c r="F1979"/>
  <c r="F1980"/>
  <c r="F1981"/>
  <c r="F1982"/>
  <c r="F1983"/>
  <c r="F1984"/>
  <c r="F1985"/>
  <c r="F1988"/>
  <c r="F1989"/>
  <c r="D1990"/>
  <c r="D1842" s="1"/>
  <c r="E1990"/>
  <c r="E1987" s="1"/>
  <c r="E1986" s="1"/>
  <c r="F1991"/>
  <c r="F1992"/>
  <c r="F1993"/>
  <c r="F1994"/>
  <c r="F1995"/>
  <c r="F1996"/>
  <c r="F1997"/>
  <c r="F1998"/>
  <c r="F1999"/>
  <c r="F2000"/>
  <c r="F2001"/>
  <c r="F2002"/>
  <c r="F2003"/>
  <c r="F2004"/>
  <c r="F2005"/>
  <c r="F2006"/>
  <c r="F2007"/>
  <c r="F2008"/>
  <c r="F2009"/>
  <c r="F2010"/>
  <c r="F2011"/>
  <c r="F2012"/>
  <c r="F2013"/>
  <c r="F2014"/>
  <c r="F2015"/>
  <c r="F2016"/>
  <c r="F2017"/>
  <c r="F2018"/>
  <c r="F2019"/>
  <c r="F2020"/>
  <c r="F2021"/>
  <c r="F2022"/>
  <c r="D2028"/>
  <c r="E2028"/>
  <c r="E2027" s="1"/>
  <c r="E2024" s="1"/>
  <c r="F2031"/>
  <c r="E2032"/>
  <c r="F2034"/>
  <c r="F2035"/>
  <c r="F2036"/>
  <c r="F2037"/>
  <c r="F2038"/>
  <c r="F2039"/>
  <c r="D2040"/>
  <c r="E2040"/>
  <c r="F2040" s="1"/>
  <c r="F2041"/>
  <c r="F2042"/>
  <c r="E2043"/>
  <c r="E2023" s="1"/>
  <c r="F2045"/>
  <c r="F2046"/>
  <c r="F2047"/>
  <c r="F2048"/>
  <c r="F2049"/>
  <c r="D2058"/>
  <c r="E2058"/>
  <c r="E2057" s="1"/>
  <c r="F2062"/>
  <c r="D2066"/>
  <c r="D2065" s="1"/>
  <c r="F2065" s="1"/>
  <c r="E2066"/>
  <c r="E2065" s="1"/>
  <c r="F2067"/>
  <c r="F2068"/>
  <c r="F2069"/>
  <c r="D2070"/>
  <c r="E2070"/>
  <c r="F2071"/>
  <c r="F2072"/>
  <c r="E2073"/>
  <c r="D2075"/>
  <c r="F2075" s="1"/>
  <c r="E2075"/>
  <c r="F2076"/>
  <c r="F2077"/>
  <c r="F2078"/>
  <c r="F2079"/>
  <c r="F2080"/>
  <c r="D2082"/>
  <c r="D2081" s="1"/>
  <c r="D427" s="1"/>
  <c r="E2082"/>
  <c r="E428" s="1"/>
  <c r="F2083"/>
  <c r="F2084"/>
  <c r="F2085"/>
  <c r="D2086"/>
  <c r="E2086"/>
  <c r="F2087"/>
  <c r="F2088"/>
  <c r="E2089"/>
  <c r="D437"/>
  <c r="F2091"/>
  <c r="F2095"/>
  <c r="F2096"/>
  <c r="F2097"/>
  <c r="F2098"/>
  <c r="F2100"/>
  <c r="F2101"/>
  <c r="F2102"/>
  <c r="F2104"/>
  <c r="F2107"/>
  <c r="F2108"/>
  <c r="D2110"/>
  <c r="E2110"/>
  <c r="E2109" s="1"/>
  <c r="F2111"/>
  <c r="D2112"/>
  <c r="D1858" s="1"/>
  <c r="E2112"/>
  <c r="F2113"/>
  <c r="D2118"/>
  <c r="D2117" s="1"/>
  <c r="E2118"/>
  <c r="E2117"/>
  <c r="F2122"/>
  <c r="D2124"/>
  <c r="E2124"/>
  <c r="E472" s="1"/>
  <c r="F2125"/>
  <c r="F2126"/>
  <c r="F2127"/>
  <c r="F2128"/>
  <c r="F2129"/>
  <c r="F2130"/>
  <c r="F2131"/>
  <c r="F2132"/>
  <c r="F2135"/>
  <c r="D2136"/>
  <c r="E2136"/>
  <c r="F2137"/>
  <c r="F2138"/>
  <c r="F2141"/>
  <c r="F2142"/>
  <c r="D2144"/>
  <c r="D2143" s="1"/>
  <c r="E2144"/>
  <c r="F2145"/>
  <c r="F2146"/>
  <c r="F2147"/>
  <c r="F2148"/>
  <c r="D2149"/>
  <c r="E2149"/>
  <c r="F2150"/>
  <c r="F2151"/>
  <c r="F2152"/>
  <c r="F2153"/>
  <c r="F2154"/>
  <c r="E2155"/>
  <c r="F2155" s="1"/>
  <c r="D2155"/>
  <c r="D506"/>
  <c r="D505" s="1"/>
  <c r="F2156"/>
  <c r="F2157"/>
  <c r="F2158"/>
  <c r="F2159"/>
  <c r="F2160"/>
  <c r="F2161"/>
  <c r="F2162"/>
  <c r="F2163"/>
  <c r="F2164"/>
  <c r="F2165"/>
  <c r="D2166"/>
  <c r="F2166" s="1"/>
  <c r="E2166"/>
  <c r="F2167"/>
  <c r="F2168"/>
  <c r="E2169"/>
  <c r="F2170"/>
  <c r="F2171"/>
  <c r="F2179"/>
  <c r="E2180"/>
  <c r="F2181"/>
  <c r="F2182"/>
  <c r="D532"/>
  <c r="F2184"/>
  <c r="F2185"/>
  <c r="F2186"/>
  <c r="F2200"/>
  <c r="F2201"/>
  <c r="D2203"/>
  <c r="E2203"/>
  <c r="E2202" s="1"/>
  <c r="E2188" s="1"/>
  <c r="F2204"/>
  <c r="F2205"/>
  <c r="F2206"/>
  <c r="F2207"/>
  <c r="F2208"/>
  <c r="D2209"/>
  <c r="E2209"/>
  <c r="F2210"/>
  <c r="F2211"/>
  <c r="F2212"/>
  <c r="F2213"/>
  <c r="F2214"/>
  <c r="F2215"/>
  <c r="F2216"/>
  <c r="F2217"/>
  <c r="D2218"/>
  <c r="D567" s="1"/>
  <c r="D566" s="1"/>
  <c r="E2218"/>
  <c r="E567" s="1"/>
  <c r="F2219"/>
  <c r="F2220"/>
  <c r="D2221"/>
  <c r="F2221" s="1"/>
  <c r="E2221"/>
  <c r="F2222"/>
  <c r="F2223"/>
  <c r="F2224"/>
  <c r="E2225"/>
  <c r="F2225" s="1"/>
  <c r="F2226"/>
  <c r="F2227"/>
  <c r="F2228"/>
  <c r="F2229"/>
  <c r="D2230"/>
  <c r="D2187" s="1"/>
  <c r="E2230"/>
  <c r="F2231"/>
  <c r="F2232"/>
  <c r="F2234"/>
  <c r="F2235"/>
  <c r="F2238"/>
  <c r="F2239"/>
  <c r="D2241"/>
  <c r="F2241" s="1"/>
  <c r="E2241"/>
  <c r="E2240"/>
  <c r="F2242"/>
  <c r="E2244"/>
  <c r="E2243" s="1"/>
  <c r="F2245"/>
  <c r="F2246"/>
  <c r="F2247"/>
  <c r="D2248"/>
  <c r="E2248"/>
  <c r="E601" s="1"/>
  <c r="F2249"/>
  <c r="F2251"/>
  <c r="E2254"/>
  <c r="F2256"/>
  <c r="F2257"/>
  <c r="F2258"/>
  <c r="F2259"/>
  <c r="F2260"/>
  <c r="F2261"/>
  <c r="F2262"/>
  <c r="F2263"/>
  <c r="F2264"/>
  <c r="D2266"/>
  <c r="D2265" s="1"/>
  <c r="E2266"/>
  <c r="E2265" s="1"/>
  <c r="F2267"/>
  <c r="D2269"/>
  <c r="E2269"/>
  <c r="F2270"/>
  <c r="F2271"/>
  <c r="F2274"/>
  <c r="E2275"/>
  <c r="F2275" s="1"/>
  <c r="F2276"/>
  <c r="F2277"/>
  <c r="F2279"/>
  <c r="F2281"/>
  <c r="F2284"/>
  <c r="F2285"/>
  <c r="F2286"/>
  <c r="F2287"/>
  <c r="F2288"/>
  <c r="F2290"/>
  <c r="F2291"/>
  <c r="F2292"/>
  <c r="F2293"/>
  <c r="F2294"/>
  <c r="F2295"/>
  <c r="F655" s="1"/>
  <c r="E2297"/>
  <c r="F2299"/>
  <c r="F2300"/>
  <c r="F2301"/>
  <c r="F2302"/>
  <c r="F2303"/>
  <c r="F2304"/>
  <c r="F2305"/>
  <c r="F2306"/>
  <c r="F2307"/>
  <c r="F2308"/>
  <c r="F2309"/>
  <c r="F2310"/>
  <c r="F2311"/>
  <c r="F2312"/>
  <c r="D2313"/>
  <c r="E2313"/>
  <c r="F2313" s="1"/>
  <c r="F2315"/>
  <c r="D678"/>
  <c r="F2317"/>
  <c r="F2318"/>
  <c r="D2319"/>
  <c r="E2319"/>
  <c r="D2320"/>
  <c r="E2320"/>
  <c r="F2321"/>
  <c r="F2322"/>
  <c r="F2323"/>
  <c r="F2324"/>
  <c r="F2325"/>
  <c r="F2326"/>
  <c r="F2327"/>
  <c r="F2328"/>
  <c r="F2329"/>
  <c r="D2330"/>
  <c r="E2330"/>
  <c r="F2331"/>
  <c r="F2332"/>
  <c r="F2333"/>
  <c r="F2334"/>
  <c r="F2335"/>
  <c r="F2336"/>
  <c r="F2337"/>
  <c r="F2338"/>
  <c r="F2339"/>
  <c r="D2340"/>
  <c r="E2340"/>
  <c r="F2341"/>
  <c r="D2342"/>
  <c r="E2342"/>
  <c r="F2343"/>
  <c r="F2344"/>
  <c r="F2345"/>
  <c r="F2346"/>
  <c r="F2347"/>
  <c r="F2348"/>
  <c r="F2349"/>
  <c r="F2350"/>
  <c r="F2351"/>
  <c r="F2352"/>
  <c r="F2353"/>
  <c r="F2354"/>
  <c r="F2355"/>
  <c r="F2356"/>
  <c r="F2357"/>
  <c r="F2358"/>
  <c r="F2359"/>
  <c r="F2360"/>
  <c r="F2361"/>
  <c r="F2362"/>
  <c r="F2363"/>
  <c r="F2364"/>
  <c r="F2365"/>
  <c r="F2366"/>
  <c r="F2367"/>
  <c r="F2368"/>
  <c r="F2369"/>
  <c r="F2370"/>
  <c r="F2371"/>
  <c r="F2372"/>
  <c r="F2373"/>
  <c r="F2374"/>
  <c r="F2375"/>
  <c r="F2376"/>
  <c r="F2377"/>
  <c r="F2378"/>
  <c r="D2380"/>
  <c r="E2380"/>
  <c r="F2381"/>
  <c r="F2382"/>
  <c r="F2383"/>
  <c r="F2384"/>
  <c r="F2385"/>
  <c r="F2386"/>
  <c r="F2387"/>
  <c r="D2388"/>
  <c r="E2388"/>
  <c r="E761" s="1"/>
  <c r="F2389"/>
  <c r="F2390"/>
  <c r="F2391"/>
  <c r="F2392"/>
  <c r="F2393"/>
  <c r="F2394"/>
  <c r="F2395"/>
  <c r="F2396"/>
  <c r="F2397"/>
  <c r="F2398"/>
  <c r="D2400"/>
  <c r="E2400"/>
  <c r="E2399" s="1"/>
  <c r="F2401"/>
  <c r="F2402"/>
  <c r="D2403"/>
  <c r="D2379" s="1"/>
  <c r="E2403"/>
  <c r="E2379" s="1"/>
  <c r="F2404"/>
  <c r="F2405"/>
  <c r="F2406"/>
  <c r="F2409"/>
  <c r="F2410"/>
  <c r="D2411"/>
  <c r="E2411"/>
  <c r="F2412"/>
  <c r="F2415"/>
  <c r="E2416"/>
  <c r="F2418"/>
  <c r="F2419"/>
  <c r="F2420"/>
  <c r="F2422"/>
  <c r="F2423"/>
  <c r="E2425"/>
  <c r="F2425" s="1"/>
  <c r="F2427"/>
  <c r="F2428"/>
  <c r="F2429"/>
  <c r="F2430"/>
  <c r="F2431"/>
  <c r="F2432"/>
  <c r="F2433"/>
  <c r="F2434"/>
  <c r="D2436"/>
  <c r="D2435" s="1"/>
  <c r="E2436"/>
  <c r="E2435" s="1"/>
  <c r="F2437"/>
  <c r="F2438"/>
  <c r="D2439"/>
  <c r="F2439" s="1"/>
  <c r="E2439"/>
  <c r="F2440"/>
  <c r="D2441"/>
  <c r="E2441"/>
  <c r="E2407" s="1"/>
  <c r="F2443"/>
  <c r="F2444"/>
  <c r="F2445"/>
  <c r="F2446"/>
  <c r="F2447"/>
  <c r="F2448"/>
  <c r="F2449"/>
  <c r="F2450"/>
  <c r="F2451"/>
  <c r="F2452"/>
  <c r="F2453"/>
  <c r="F2454"/>
  <c r="F2455"/>
  <c r="F2456"/>
  <c r="F2457"/>
  <c r="F2458"/>
  <c r="F2459"/>
  <c r="F2460"/>
  <c r="F2461"/>
  <c r="F2462"/>
  <c r="F2463"/>
  <c r="F2464"/>
  <c r="F2465"/>
  <c r="F2466"/>
  <c r="F2467"/>
  <c r="F2468"/>
  <c r="F2469"/>
  <c r="F2470"/>
  <c r="F2471"/>
  <c r="F2472"/>
  <c r="F2473"/>
  <c r="F2474"/>
  <c r="F2475"/>
  <c r="F2476"/>
  <c r="F2477"/>
  <c r="F2478"/>
  <c r="F2479"/>
  <c r="F2480"/>
  <c r="F2481"/>
  <c r="F2482"/>
  <c r="F2483"/>
  <c r="F2484"/>
  <c r="F2485"/>
  <c r="F2486"/>
  <c r="F2487"/>
  <c r="F2488"/>
  <c r="F2489"/>
  <c r="F2490"/>
  <c r="F2491"/>
  <c r="F2492"/>
  <c r="F2493"/>
  <c r="F2494"/>
  <c r="F2495"/>
  <c r="F2496"/>
  <c r="F2497"/>
  <c r="F2498"/>
  <c r="F2499"/>
  <c r="F2500"/>
  <c r="F2501"/>
  <c r="J22" i="264"/>
  <c r="J21" s="1"/>
  <c r="D25"/>
  <c r="E25"/>
  <c r="E22" s="1"/>
  <c r="E21" s="1"/>
  <c r="E20" s="1"/>
  <c r="F25"/>
  <c r="F22" s="1"/>
  <c r="F21" s="1"/>
  <c r="F20" s="1"/>
  <c r="G25"/>
  <c r="H25"/>
  <c r="I28"/>
  <c r="K28" s="1"/>
  <c r="D30"/>
  <c r="E30"/>
  <c r="F30"/>
  <c r="G30"/>
  <c r="G22" s="1"/>
  <c r="G21" s="1"/>
  <c r="H30"/>
  <c r="E39"/>
  <c r="F39"/>
  <c r="G39"/>
  <c r="E44"/>
  <c r="F44"/>
  <c r="D56"/>
  <c r="E56"/>
  <c r="F56"/>
  <c r="G56"/>
  <c r="H56"/>
  <c r="I60"/>
  <c r="K60" s="1"/>
  <c r="C63"/>
  <c r="D63"/>
  <c r="E63"/>
  <c r="F63"/>
  <c r="G63"/>
  <c r="H63"/>
  <c r="J63"/>
  <c r="I64"/>
  <c r="K64" s="1"/>
  <c r="I65"/>
  <c r="K65" s="1"/>
  <c r="C66"/>
  <c r="D66"/>
  <c r="E66"/>
  <c r="F66"/>
  <c r="G66"/>
  <c r="J66"/>
  <c r="I67"/>
  <c r="K67" s="1"/>
  <c r="I68"/>
  <c r="K68" s="1"/>
  <c r="C69"/>
  <c r="D69"/>
  <c r="E69"/>
  <c r="F69"/>
  <c r="G69"/>
  <c r="H69"/>
  <c r="I70"/>
  <c r="K70" s="1"/>
  <c r="I71"/>
  <c r="K71"/>
  <c r="C72"/>
  <c r="D72"/>
  <c r="E72"/>
  <c r="F72"/>
  <c r="G72"/>
  <c r="H72"/>
  <c r="I73"/>
  <c r="K73" s="1"/>
  <c r="I74"/>
  <c r="K74" s="1"/>
  <c r="C75"/>
  <c r="D75"/>
  <c r="E75"/>
  <c r="F75"/>
  <c r="G75"/>
  <c r="H75"/>
  <c r="I76"/>
  <c r="K76" s="1"/>
  <c r="I77"/>
  <c r="K77" s="1"/>
  <c r="C78"/>
  <c r="D78"/>
  <c r="E78"/>
  <c r="F78"/>
  <c r="G78"/>
  <c r="H78"/>
  <c r="I79"/>
  <c r="K79"/>
  <c r="I80"/>
  <c r="K80" s="1"/>
  <c r="E81"/>
  <c r="F81"/>
  <c r="G81"/>
  <c r="H81"/>
  <c r="D82"/>
  <c r="D81" s="1"/>
  <c r="C83"/>
  <c r="C84"/>
  <c r="D84"/>
  <c r="E84"/>
  <c r="F84"/>
  <c r="G84"/>
  <c r="H84"/>
  <c r="J84"/>
  <c r="I85"/>
  <c r="K85" s="1"/>
  <c r="I86"/>
  <c r="K86" s="1"/>
  <c r="C87"/>
  <c r="D87"/>
  <c r="E87"/>
  <c r="F87"/>
  <c r="G87"/>
  <c r="H87"/>
  <c r="J87"/>
  <c r="I88"/>
  <c r="K88" s="1"/>
  <c r="I89"/>
  <c r="K89" s="1"/>
  <c r="D90"/>
  <c r="E90"/>
  <c r="F90"/>
  <c r="G90"/>
  <c r="H90"/>
  <c r="C91"/>
  <c r="I91" s="1"/>
  <c r="K91" s="1"/>
  <c r="C92"/>
  <c r="I92" s="1"/>
  <c r="K92" s="1"/>
  <c r="D93"/>
  <c r="E93"/>
  <c r="F93"/>
  <c r="G93"/>
  <c r="H93"/>
  <c r="J93"/>
  <c r="I94"/>
  <c r="K94" s="1"/>
  <c r="C95"/>
  <c r="C93" s="1"/>
  <c r="I97"/>
  <c r="K97" s="1"/>
  <c r="C98"/>
  <c r="C96" s="1"/>
  <c r="I96" s="1"/>
  <c r="K96" s="1"/>
  <c r="C99"/>
  <c r="D99"/>
  <c r="E99"/>
  <c r="F99"/>
  <c r="G99"/>
  <c r="H99"/>
  <c r="I100"/>
  <c r="K100" s="1"/>
  <c r="I101"/>
  <c r="K101" s="1"/>
  <c r="C102"/>
  <c r="D102"/>
  <c r="E102"/>
  <c r="F102"/>
  <c r="G102"/>
  <c r="H102"/>
  <c r="I103"/>
  <c r="K103" s="1"/>
  <c r="I104"/>
  <c r="K104" s="1"/>
  <c r="C105"/>
  <c r="D105"/>
  <c r="E105"/>
  <c r="F105"/>
  <c r="G105"/>
  <c r="H105"/>
  <c r="I106"/>
  <c r="K106" s="1"/>
  <c r="I107"/>
  <c r="K107" s="1"/>
  <c r="D108"/>
  <c r="E108"/>
  <c r="F108"/>
  <c r="G108"/>
  <c r="H108"/>
  <c r="I109"/>
  <c r="K109"/>
  <c r="C110"/>
  <c r="C108" s="1"/>
  <c r="I108" s="1"/>
  <c r="K108" s="1"/>
  <c r="C111"/>
  <c r="D111"/>
  <c r="E111"/>
  <c r="F111"/>
  <c r="G111"/>
  <c r="H111"/>
  <c r="I112"/>
  <c r="K112" s="1"/>
  <c r="I113"/>
  <c r="K113" s="1"/>
  <c r="D2180" i="268"/>
  <c r="D2139" s="1"/>
  <c r="F2112"/>
  <c r="E1584"/>
  <c r="E1436"/>
  <c r="E1383"/>
  <c r="E1382" s="1"/>
  <c r="E1858"/>
  <c r="F2316"/>
  <c r="F2183"/>
  <c r="F2172"/>
  <c r="F1364"/>
  <c r="D1286"/>
  <c r="F1327"/>
  <c r="F1309"/>
  <c r="F1099"/>
  <c r="D1030"/>
  <c r="F598"/>
  <c r="D494"/>
  <c r="E1763"/>
  <c r="E957"/>
  <c r="E98" s="1"/>
  <c r="D32" i="269"/>
  <c r="F1414" i="268"/>
  <c r="D574"/>
  <c r="F1398"/>
  <c r="C8" i="269"/>
  <c r="D482" i="268"/>
  <c r="F1270"/>
  <c r="E1268"/>
  <c r="E1318"/>
  <c r="E1029"/>
  <c r="D1987"/>
  <c r="D774"/>
  <c r="F1205"/>
  <c r="F850"/>
  <c r="I82" i="264"/>
  <c r="K82" s="1"/>
  <c r="E65" i="268"/>
  <c r="E64" s="1"/>
  <c r="E2092"/>
  <c r="F2103"/>
  <c r="E944"/>
  <c r="F1229"/>
  <c r="D1209"/>
  <c r="E384"/>
  <c r="D384"/>
  <c r="D553"/>
  <c r="E1023"/>
  <c r="E556"/>
  <c r="D52"/>
  <c r="F77"/>
  <c r="F939"/>
  <c r="D80"/>
  <c r="D396"/>
  <c r="F396" s="1"/>
  <c r="D411"/>
  <c r="F1241"/>
  <c r="E888"/>
  <c r="E887" s="1"/>
  <c r="D1869"/>
  <c r="F1869" s="1"/>
  <c r="F1927"/>
  <c r="D1923"/>
  <c r="D1932"/>
  <c r="F2033"/>
  <c r="D2032"/>
  <c r="D2043"/>
  <c r="F2043" s="1"/>
  <c r="F2074"/>
  <c r="D2254"/>
  <c r="D610"/>
  <c r="D609" s="1"/>
  <c r="D1884"/>
  <c r="D634"/>
  <c r="F2278"/>
  <c r="F2298"/>
  <c r="D2297"/>
  <c r="F2314"/>
  <c r="F2426"/>
  <c r="F2442"/>
  <c r="D29" i="269"/>
  <c r="C15"/>
  <c r="C26"/>
  <c r="D878" i="268"/>
  <c r="F878" s="1"/>
  <c r="D38"/>
  <c r="F38" s="1"/>
  <c r="F934"/>
  <c r="D76"/>
  <c r="F1203"/>
  <c r="D369"/>
  <c r="F1278"/>
  <c r="D417"/>
  <c r="F1320"/>
  <c r="D1319"/>
  <c r="D1318" s="1"/>
  <c r="F1347"/>
  <c r="F1399"/>
  <c r="D1402"/>
  <c r="D1361" s="1"/>
  <c r="F1403"/>
  <c r="F1404"/>
  <c r="D1413"/>
  <c r="F1586"/>
  <c r="D776"/>
  <c r="D877"/>
  <c r="E61"/>
  <c r="E60"/>
  <c r="F749"/>
  <c r="D320"/>
  <c r="F320" s="1"/>
  <c r="E1126"/>
  <c r="D483"/>
  <c r="F483" s="1"/>
  <c r="F1310"/>
  <c r="F1246"/>
  <c r="D272"/>
  <c r="F1098"/>
  <c r="F945"/>
  <c r="D86"/>
  <c r="D85" s="1"/>
  <c r="F926"/>
  <c r="D68"/>
  <c r="F68" s="1"/>
  <c r="F920"/>
  <c r="D919"/>
  <c r="F919" s="1"/>
  <c r="E1876"/>
  <c r="E2133"/>
  <c r="E2105" s="1"/>
  <c r="E482"/>
  <c r="E481" s="1"/>
  <c r="F87"/>
  <c r="D2202"/>
  <c r="D1557"/>
  <c r="F1381"/>
  <c r="D592"/>
  <c r="D2027"/>
  <c r="D1057"/>
  <c r="E693"/>
  <c r="F623"/>
  <c r="F1363"/>
  <c r="D538"/>
  <c r="D2073"/>
  <c r="D420"/>
  <c r="D419" s="1"/>
  <c r="F419" s="1"/>
  <c r="D1846"/>
  <c r="D912"/>
  <c r="D653"/>
  <c r="F653" s="1"/>
  <c r="D1208"/>
  <c r="D1731"/>
  <c r="F1563"/>
  <c r="F1588"/>
  <c r="D1587"/>
  <c r="F1587" s="1"/>
  <c r="D761"/>
  <c r="D1556"/>
  <c r="E211"/>
  <c r="F374"/>
  <c r="E271"/>
  <c r="F1485"/>
  <c r="F917"/>
  <c r="D2243"/>
  <c r="F2330"/>
  <c r="E1922"/>
  <c r="F578"/>
  <c r="F83"/>
  <c r="D20"/>
  <c r="F2380"/>
  <c r="E16"/>
  <c r="D461"/>
  <c r="F1295"/>
  <c r="F2273"/>
  <c r="E2272"/>
  <c r="E629"/>
  <c r="E628" s="1"/>
  <c r="D556"/>
  <c r="F1380"/>
  <c r="D918"/>
  <c r="F918" s="1"/>
  <c r="F1319"/>
  <c r="D204"/>
  <c r="F1202"/>
  <c r="D368"/>
  <c r="F1128"/>
  <c r="D1615"/>
  <c r="D2109"/>
  <c r="F2436"/>
  <c r="F610"/>
  <c r="D44" i="264"/>
  <c r="B14" i="269"/>
  <c r="D14" s="1"/>
  <c r="D42"/>
  <c r="B15"/>
  <c r="D15" s="1"/>
  <c r="F626" i="268"/>
  <c r="F1355"/>
  <c r="D1354"/>
  <c r="D534"/>
  <c r="F1328"/>
  <c r="D1763"/>
  <c r="F1763" s="1"/>
  <c r="F1765"/>
  <c r="D99"/>
  <c r="F99" s="1"/>
  <c r="D957"/>
  <c r="D1268"/>
  <c r="F1268" s="1"/>
  <c r="F1269"/>
  <c r="D1245"/>
  <c r="D416"/>
  <c r="D214" s="1"/>
  <c r="D1054"/>
  <c r="F1397"/>
  <c r="E955"/>
  <c r="E1846"/>
  <c r="E1035"/>
  <c r="F1423"/>
  <c r="F1108"/>
  <c r="D949"/>
  <c r="F949" s="1"/>
  <c r="F954"/>
  <c r="D888"/>
  <c r="D31"/>
  <c r="F31" s="1"/>
  <c r="D1233"/>
  <c r="D296"/>
  <c r="F1130"/>
  <c r="E1127"/>
  <c r="D439"/>
  <c r="D629"/>
  <c r="E1497"/>
  <c r="E1910"/>
  <c r="F1882"/>
  <c r="D2282"/>
  <c r="D458"/>
  <c r="D440"/>
  <c r="D2089"/>
  <c r="F2090"/>
  <c r="F407"/>
  <c r="F1948"/>
  <c r="D591"/>
  <c r="D1029"/>
  <c r="D1097"/>
  <c r="D1087" s="1"/>
  <c r="F1491"/>
  <c r="D1490"/>
  <c r="D1453" s="1"/>
  <c r="D1376"/>
  <c r="D1375" s="1"/>
  <c r="F1377"/>
  <c r="D582"/>
  <c r="F1405"/>
  <c r="D1827"/>
  <c r="D160"/>
  <c r="D253"/>
  <c r="D636"/>
  <c r="F1451"/>
  <c r="D588"/>
  <c r="F588" s="1"/>
  <c r="F2280"/>
  <c r="F2268"/>
  <c r="F624" s="1"/>
  <c r="D624"/>
  <c r="D2092"/>
  <c r="D290"/>
  <c r="D289" s="1"/>
  <c r="F1088"/>
  <c r="D252"/>
  <c r="F998"/>
  <c r="F141" s="1"/>
  <c r="D1016"/>
  <c r="F1016" s="1"/>
  <c r="D453"/>
  <c r="F453" s="1"/>
  <c r="F1283"/>
  <c r="H40" i="264"/>
  <c r="H39" s="1"/>
  <c r="F1437" i="268"/>
  <c r="D1164"/>
  <c r="D1163" s="1"/>
  <c r="D333"/>
  <c r="D326"/>
  <c r="D292" s="1"/>
  <c r="D1126"/>
  <c r="F1124"/>
  <c r="F533"/>
  <c r="F403"/>
  <c r="F39"/>
  <c r="D977"/>
  <c r="D976" s="1"/>
  <c r="D975" s="1"/>
  <c r="F404"/>
  <c r="F416"/>
  <c r="B17" i="269"/>
  <c r="B26"/>
  <c r="B11"/>
  <c r="B8"/>
  <c r="D37"/>
  <c r="D646" i="268"/>
  <c r="B22" i="269"/>
  <c r="B9"/>
  <c r="D2283" i="268"/>
  <c r="F1880" l="1"/>
  <c r="E877"/>
  <c r="E873" s="1"/>
  <c r="F944"/>
  <c r="F457"/>
  <c r="F1024"/>
  <c r="F2144"/>
  <c r="F1900"/>
  <c r="F807"/>
  <c r="D19" i="269"/>
  <c r="F880" i="268"/>
  <c r="F1051"/>
  <c r="E1049"/>
  <c r="C47" i="269"/>
  <c r="F888" i="268"/>
  <c r="F2124"/>
  <c r="F636"/>
  <c r="E585"/>
  <c r="E529"/>
  <c r="E487" s="1"/>
  <c r="E1028"/>
  <c r="F1167"/>
  <c r="E96"/>
  <c r="F75"/>
  <c r="F912"/>
  <c r="E51"/>
  <c r="F875"/>
  <c r="E2106"/>
  <c r="F2106" s="1"/>
  <c r="E12" i="273"/>
  <c r="D38" i="269"/>
  <c r="F287" i="268"/>
  <c r="D271"/>
  <c r="F800"/>
  <c r="F599"/>
  <c r="F582"/>
  <c r="F2203"/>
  <c r="D874"/>
  <c r="F874" s="1"/>
  <c r="E20"/>
  <c r="F20" s="1"/>
  <c r="C26" i="264" s="1"/>
  <c r="E1872" i="268"/>
  <c r="F2342"/>
  <c r="F1863"/>
  <c r="F1847"/>
  <c r="F1718"/>
  <c r="F1609"/>
  <c r="D1281"/>
  <c r="F1281" s="1"/>
  <c r="D960"/>
  <c r="F960" s="1"/>
  <c r="F406"/>
  <c r="F95"/>
  <c r="F34"/>
  <c r="C22" i="273"/>
  <c r="F1460" i="268"/>
  <c r="F977"/>
  <c r="D8" i="269"/>
  <c r="D36" i="264" s="1"/>
  <c r="D21" s="1"/>
  <c r="F1209" i="268"/>
  <c r="F1291"/>
  <c r="F290"/>
  <c r="F252"/>
  <c r="D621"/>
  <c r="D1362"/>
  <c r="F408"/>
  <c r="F789"/>
  <c r="F2110"/>
  <c r="E931"/>
  <c r="E921" s="1"/>
  <c r="F1846"/>
  <c r="F506"/>
  <c r="E1019"/>
  <c r="F1019" s="1"/>
  <c r="D1028"/>
  <c r="F76"/>
  <c r="F1932"/>
  <c r="I110" i="264"/>
  <c r="K110" s="1"/>
  <c r="I90"/>
  <c r="K90" s="1"/>
  <c r="I72"/>
  <c r="K72" s="1"/>
  <c r="I66"/>
  <c r="K66" s="1"/>
  <c r="F43"/>
  <c r="F61" s="1"/>
  <c r="D22"/>
  <c r="F2435" i="268"/>
  <c r="F2388"/>
  <c r="F1879"/>
  <c r="F1873"/>
  <c r="F1783"/>
  <c r="F1757"/>
  <c r="F1741"/>
  <c r="F1731"/>
  <c r="F1687"/>
  <c r="F1685"/>
  <c r="F1579"/>
  <c r="F1557"/>
  <c r="F1519"/>
  <c r="F679"/>
  <c r="D579"/>
  <c r="E1048"/>
  <c r="F1290"/>
  <c r="F1120"/>
  <c r="F1000"/>
  <c r="F907"/>
  <c r="E804"/>
  <c r="E771" s="1"/>
  <c r="F495"/>
  <c r="F214"/>
  <c r="F412"/>
  <c r="F204"/>
  <c r="E171"/>
  <c r="F323"/>
  <c r="F197"/>
  <c r="E147"/>
  <c r="F104"/>
  <c r="F97"/>
  <c r="D90"/>
  <c r="E30"/>
  <c r="E29" s="1"/>
  <c r="E22" i="270"/>
  <c r="F331" i="268"/>
  <c r="D672"/>
  <c r="F672" s="1"/>
  <c r="F975"/>
  <c r="F1087"/>
  <c r="F152"/>
  <c r="F517"/>
  <c r="D65"/>
  <c r="F761"/>
  <c r="E494"/>
  <c r="F494" s="1"/>
  <c r="F575"/>
  <c r="C90" i="264"/>
  <c r="I78"/>
  <c r="K78" s="1"/>
  <c r="F1040" i="268"/>
  <c r="I98" i="264"/>
  <c r="K98" s="1"/>
  <c r="F1461" i="268"/>
  <c r="F1383"/>
  <c r="F691"/>
  <c r="E180"/>
  <c r="D43"/>
  <c r="D41" s="1"/>
  <c r="F41" s="1"/>
  <c r="C31" i="264" s="1"/>
  <c r="I31" s="1"/>
  <c r="K31" s="1"/>
  <c r="D2140" i="268"/>
  <c r="F1556"/>
  <c r="F1030"/>
  <c r="I99" i="264"/>
  <c r="K99" s="1"/>
  <c r="I87"/>
  <c r="K87" s="1"/>
  <c r="H62"/>
  <c r="D1870" i="268"/>
  <c r="F2149"/>
  <c r="F2136"/>
  <c r="F2070"/>
  <c r="F1443"/>
  <c r="D455"/>
  <c r="D452" s="1"/>
  <c r="F1216"/>
  <c r="F1046"/>
  <c r="F801"/>
  <c r="F766"/>
  <c r="F762"/>
  <c r="D743"/>
  <c r="F743" s="1"/>
  <c r="E743"/>
  <c r="F677"/>
  <c r="F651"/>
  <c r="F606"/>
  <c r="E589"/>
  <c r="E184"/>
  <c r="E210"/>
  <c r="E85"/>
  <c r="F85" s="1"/>
  <c r="F79"/>
  <c r="F59"/>
  <c r="F81"/>
  <c r="F47"/>
  <c r="E330"/>
  <c r="E329" s="1"/>
  <c r="E174"/>
  <c r="F333"/>
  <c r="E1071"/>
  <c r="F1382"/>
  <c r="F516"/>
  <c r="D1227"/>
  <c r="I105" i="264"/>
  <c r="K105" s="1"/>
  <c r="I84"/>
  <c r="K84" s="1"/>
  <c r="F1727" i="268"/>
  <c r="F1436"/>
  <c r="E1060"/>
  <c r="F534"/>
  <c r="F1466"/>
  <c r="F1245"/>
  <c r="F2403"/>
  <c r="D185"/>
  <c r="D472"/>
  <c r="F472" s="1"/>
  <c r="E767"/>
  <c r="E742" s="1"/>
  <c r="H22" i="264"/>
  <c r="D595" i="268"/>
  <c r="D594" s="1"/>
  <c r="E451"/>
  <c r="E415"/>
  <c r="E213" s="1"/>
  <c r="E22"/>
  <c r="E19" s="1"/>
  <c r="E15" s="1"/>
  <c r="D10" i="269"/>
  <c r="D2024" i="268"/>
  <c r="F2024" s="1"/>
  <c r="F2027"/>
  <c r="F2202"/>
  <c r="D2188"/>
  <c r="F2188" s="1"/>
  <c r="F782"/>
  <c r="D781"/>
  <c r="E199"/>
  <c r="E595"/>
  <c r="E594" s="1"/>
  <c r="E586" s="1"/>
  <c r="E2051"/>
  <c r="F58"/>
  <c r="F53"/>
  <c r="D210"/>
  <c r="D330"/>
  <c r="D174"/>
  <c r="D35" i="269"/>
  <c r="F2379" i="268"/>
  <c r="F1275"/>
  <c r="D1684"/>
  <c r="D1683" s="1"/>
  <c r="F2254"/>
  <c r="E682"/>
  <c r="F113"/>
  <c r="D2240"/>
  <c r="D2237" s="1"/>
  <c r="I102" i="264"/>
  <c r="K102" s="1"/>
  <c r="F43" i="268"/>
  <c r="I95" i="264"/>
  <c r="K95" s="1"/>
  <c r="E54" i="268"/>
  <c r="F2244"/>
  <c r="E1061"/>
  <c r="D647"/>
  <c r="D1454"/>
  <c r="D778"/>
  <c r="F778" s="1"/>
  <c r="F1308"/>
  <c r="F18"/>
  <c r="C24" i="264" s="1"/>
  <c r="C23" s="1"/>
  <c r="I23" s="1"/>
  <c r="K23" s="1"/>
  <c r="D899" i="268"/>
  <c r="F522"/>
  <c r="F1688"/>
  <c r="F1610"/>
  <c r="D1314"/>
  <c r="F1311"/>
  <c r="F1318"/>
  <c r="E1870"/>
  <c r="E1842"/>
  <c r="F1842" s="1"/>
  <c r="E220"/>
  <c r="E1707"/>
  <c r="F493"/>
  <c r="F711"/>
  <c r="F417"/>
  <c r="F2032"/>
  <c r="F310"/>
  <c r="F482"/>
  <c r="I111" i="264"/>
  <c r="K111" s="1"/>
  <c r="I93"/>
  <c r="K93" s="1"/>
  <c r="J62"/>
  <c r="E62"/>
  <c r="F2320" i="268"/>
  <c r="E2282"/>
  <c r="F2282" s="1"/>
  <c r="D1876"/>
  <c r="F1876" s="1"/>
  <c r="F2058"/>
  <c r="F2028"/>
  <c r="F1864"/>
  <c r="F1496"/>
  <c r="F1425"/>
  <c r="F1416"/>
  <c r="F531"/>
  <c r="D1035"/>
  <c r="F1035" s="1"/>
  <c r="F814"/>
  <c r="F760"/>
  <c r="D682"/>
  <c r="F682" s="1"/>
  <c r="F703"/>
  <c r="F685"/>
  <c r="F593"/>
  <c r="F559"/>
  <c r="F473"/>
  <c r="F468"/>
  <c r="E243"/>
  <c r="F327"/>
  <c r="F167"/>
  <c r="F163"/>
  <c r="F161"/>
  <c r="E118"/>
  <c r="F139"/>
  <c r="F137"/>
  <c r="F133"/>
  <c r="D49"/>
  <c r="F49" s="1"/>
  <c r="C32" i="264" s="1"/>
  <c r="I32" s="1"/>
  <c r="K32" s="1"/>
  <c r="E20" i="270"/>
  <c r="D40" i="269"/>
  <c r="D55" i="264" s="1"/>
  <c r="D147" i="268"/>
  <c r="H21" i="264"/>
  <c r="H20" s="1"/>
  <c r="F462" i="268"/>
  <c r="F932"/>
  <c r="F608"/>
  <c r="D221"/>
  <c r="F221" s="1"/>
  <c r="F810"/>
  <c r="F1990"/>
  <c r="F1127"/>
  <c r="E2236"/>
  <c r="F2236" s="1"/>
  <c r="F2411"/>
  <c r="E1408"/>
  <c r="F1408" s="1"/>
  <c r="F1413"/>
  <c r="F923"/>
  <c r="F607"/>
  <c r="F632"/>
  <c r="F776"/>
  <c r="F634"/>
  <c r="F80"/>
  <c r="F556"/>
  <c r="D209"/>
  <c r="F1690"/>
  <c r="F1384"/>
  <c r="D191"/>
  <c r="D1285"/>
  <c r="I75" i="264"/>
  <c r="K75" s="1"/>
  <c r="F62"/>
  <c r="G62"/>
  <c r="I63"/>
  <c r="K63" s="1"/>
  <c r="F2340" i="268"/>
  <c r="F2319"/>
  <c r="F2269"/>
  <c r="F1944"/>
  <c r="F1865"/>
  <c r="F1774"/>
  <c r="F1507"/>
  <c r="F1446"/>
  <c r="E1361"/>
  <c r="F1361" s="1"/>
  <c r="F1344"/>
  <c r="F1341"/>
  <c r="D1078"/>
  <c r="F1210"/>
  <c r="F1059"/>
  <c r="F802"/>
  <c r="F745"/>
  <c r="E621"/>
  <c r="E620" s="1"/>
  <c r="E579"/>
  <c r="E536" s="1"/>
  <c r="F474"/>
  <c r="F470"/>
  <c r="F413"/>
  <c r="E15" i="270"/>
  <c r="G55" i="264" s="1"/>
  <c r="F23" i="268"/>
  <c r="F22" s="1"/>
  <c r="C27" i="264" s="1"/>
  <c r="I27" s="1"/>
  <c r="K27" s="1"/>
  <c r="D675" i="268"/>
  <c r="D639" s="1"/>
  <c r="F1126"/>
  <c r="E14" i="270"/>
  <c r="G52" i="264" s="1"/>
  <c r="G44" s="1"/>
  <c r="G43" s="1"/>
  <c r="D30" i="268"/>
  <c r="D29" s="1"/>
  <c r="F92"/>
  <c r="F295"/>
  <c r="F1020"/>
  <c r="F1258"/>
  <c r="F1057"/>
  <c r="E1315"/>
  <c r="E492"/>
  <c r="E491" s="1"/>
  <c r="E488" s="1"/>
  <c r="D1412"/>
  <c r="F1412" s="1"/>
  <c r="F774"/>
  <c r="D775"/>
  <c r="D178" s="1"/>
  <c r="D179"/>
  <c r="F179" s="1"/>
  <c r="F94"/>
  <c r="F106"/>
  <c r="F142"/>
  <c r="D118"/>
  <c r="F439"/>
  <c r="E438"/>
  <c r="D428"/>
  <c r="F428" s="1"/>
  <c r="F1868"/>
  <c r="F2243"/>
  <c r="F609"/>
  <c r="E241"/>
  <c r="F658"/>
  <c r="E1314"/>
  <c r="F1314" s="1"/>
  <c r="F1029"/>
  <c r="F579"/>
  <c r="F581"/>
  <c r="F2086"/>
  <c r="E1075"/>
  <c r="F1262"/>
  <c r="F1077"/>
  <c r="F449"/>
  <c r="F2272"/>
  <c r="F657"/>
  <c r="E657"/>
  <c r="F2297"/>
  <c r="F166"/>
  <c r="F164"/>
  <c r="F165"/>
  <c r="F131"/>
  <c r="E775"/>
  <c r="E172"/>
  <c r="D11" i="269"/>
  <c r="D41" i="264" s="1"/>
  <c r="D39" s="1"/>
  <c r="F397" i="268"/>
  <c r="E367"/>
  <c r="E1085"/>
  <c r="F530"/>
  <c r="F1453"/>
  <c r="E675"/>
  <c r="E639" s="1"/>
  <c r="F652"/>
  <c r="F1484"/>
  <c r="E1454"/>
  <c r="F1615"/>
  <c r="F2265"/>
  <c r="F1250"/>
  <c r="F1079"/>
  <c r="D1249"/>
  <c r="D1060" s="1"/>
  <c r="D1061"/>
  <c r="F418"/>
  <c r="F1240"/>
  <c r="E1226"/>
  <c r="E1078"/>
  <c r="D17" i="269"/>
  <c r="D26"/>
  <c r="E17" i="270"/>
  <c r="D13"/>
  <c r="D12" s="1"/>
  <c r="E12" s="1"/>
  <c r="G38" i="264" s="1"/>
  <c r="F490" i="268"/>
  <c r="C13" i="269"/>
  <c r="F109" i="268"/>
  <c r="F55"/>
  <c r="E898"/>
  <c r="E872" s="1"/>
  <c r="F1766"/>
  <c r="F1767"/>
  <c r="D102"/>
  <c r="D101" s="1"/>
  <c r="E90"/>
  <c r="F90" s="1"/>
  <c r="F440"/>
  <c r="D1583"/>
  <c r="F1583" s="1"/>
  <c r="D171"/>
  <c r="F437"/>
  <c r="E432"/>
  <c r="F432" s="1"/>
  <c r="F433"/>
  <c r="E435"/>
  <c r="F2180"/>
  <c r="F532"/>
  <c r="F592"/>
  <c r="F286"/>
  <c r="F1827"/>
  <c r="F2099"/>
  <c r="D620"/>
  <c r="F2266"/>
  <c r="D529"/>
  <c r="D491"/>
  <c r="F1164"/>
  <c r="B33" i="269"/>
  <c r="B7"/>
  <c r="D43" i="264"/>
  <c r="F1490" i="268"/>
  <c r="E2050"/>
  <c r="F1930"/>
  <c r="F484"/>
  <c r="E460"/>
  <c r="F460" s="1"/>
  <c r="F461"/>
  <c r="F128"/>
  <c r="F384"/>
  <c r="F785"/>
  <c r="F1852"/>
  <c r="F2248"/>
  <c r="D601"/>
  <c r="F601" s="1"/>
  <c r="F631"/>
  <c r="E2237"/>
  <c r="F597"/>
  <c r="D192"/>
  <c r="F192" s="1"/>
  <c r="D1861"/>
  <c r="F268"/>
  <c r="D212"/>
  <c r="F2230"/>
  <c r="F573"/>
  <c r="F2218"/>
  <c r="F558"/>
  <c r="F576"/>
  <c r="F571"/>
  <c r="D1901"/>
  <c r="E224"/>
  <c r="E1901"/>
  <c r="F1902"/>
  <c r="D487"/>
  <c r="F1858"/>
  <c r="D2106"/>
  <c r="D401"/>
  <c r="D202"/>
  <c r="F202" s="1"/>
  <c r="E1861"/>
  <c r="E402"/>
  <c r="E401" s="1"/>
  <c r="E264"/>
  <c r="E251" s="1"/>
  <c r="F203"/>
  <c r="D264"/>
  <c r="F1402"/>
  <c r="F1375"/>
  <c r="D552"/>
  <c r="D1048"/>
  <c r="F1376"/>
  <c r="D1049"/>
  <c r="F538"/>
  <c r="F1987"/>
  <c r="F1950"/>
  <c r="F1951"/>
  <c r="F326"/>
  <c r="F1966"/>
  <c r="E292"/>
  <c r="F292" s="1"/>
  <c r="E1908"/>
  <c r="F2092"/>
  <c r="D2050"/>
  <c r="F1839"/>
  <c r="F1163"/>
  <c r="D1085"/>
  <c r="D329"/>
  <c r="F329" s="1"/>
  <c r="F253"/>
  <c r="D98"/>
  <c r="F957"/>
  <c r="I83" i="264"/>
  <c r="K83" s="1"/>
  <c r="C81"/>
  <c r="F1708" i="268"/>
  <c r="D1707"/>
  <c r="D1075"/>
  <c r="D1576"/>
  <c r="F1577"/>
  <c r="E1047"/>
  <c r="F1047" s="1"/>
  <c r="F1373"/>
  <c r="E1362"/>
  <c r="E1233"/>
  <c r="E1038"/>
  <c r="E847"/>
  <c r="F847" s="1"/>
  <c r="F864"/>
  <c r="D764"/>
  <c r="F765"/>
  <c r="D240"/>
  <c r="E465"/>
  <c r="F467"/>
  <c r="F431"/>
  <c r="D241"/>
  <c r="D181"/>
  <c r="F181" s="1"/>
  <c r="F297"/>
  <c r="C22" i="269"/>
  <c r="C33" s="1"/>
  <c r="C9"/>
  <c r="D16" i="268"/>
  <c r="F17"/>
  <c r="F649"/>
  <c r="D198"/>
  <c r="F198" s="1"/>
  <c r="F296"/>
  <c r="F293" s="1"/>
  <c r="D180"/>
  <c r="F180" s="1"/>
  <c r="C49" i="264" s="1"/>
  <c r="I49" s="1"/>
  <c r="K49" s="1"/>
  <c r="D293" i="268"/>
  <c r="D367"/>
  <c r="F368"/>
  <c r="F367" s="1"/>
  <c r="D64"/>
  <c r="F65"/>
  <c r="D1023"/>
  <c r="F1023" s="1"/>
  <c r="D1584"/>
  <c r="F1584" s="1"/>
  <c r="F1097"/>
  <c r="F272"/>
  <c r="F271" s="1"/>
  <c r="D51"/>
  <c r="F52"/>
  <c r="E1027"/>
  <c r="E1282"/>
  <c r="F2400"/>
  <c r="D1898"/>
  <c r="D2399"/>
  <c r="F2399" s="1"/>
  <c r="F275"/>
  <c r="D274"/>
  <c r="F274" s="1"/>
  <c r="D1696"/>
  <c r="F1697"/>
  <c r="E1683"/>
  <c r="F1501"/>
  <c r="D1500"/>
  <c r="D693"/>
  <c r="F693" s="1"/>
  <c r="F694"/>
  <c r="E458"/>
  <c r="E191"/>
  <c r="F191" s="1"/>
  <c r="F334"/>
  <c r="E175"/>
  <c r="F175" s="1"/>
  <c r="F1220"/>
  <c r="D1219"/>
  <c r="D387"/>
  <c r="F387" s="1"/>
  <c r="D1265"/>
  <c r="F1266"/>
  <c r="D436"/>
  <c r="D435" s="1"/>
  <c r="D1056"/>
  <c r="F1056" s="1"/>
  <c r="D1326"/>
  <c r="D1053" s="1"/>
  <c r="D1017"/>
  <c r="F1017" s="1"/>
  <c r="F1456"/>
  <c r="D642"/>
  <c r="D172" s="1"/>
  <c r="D806"/>
  <c r="F1617"/>
  <c r="F78"/>
  <c r="D74"/>
  <c r="E159"/>
  <c r="F976"/>
  <c r="B47" i="269"/>
  <c r="B13"/>
  <c r="D220" i="268"/>
  <c r="F1086"/>
  <c r="F1123"/>
  <c r="D955"/>
  <c r="E409"/>
  <c r="F1354"/>
  <c r="F1154"/>
  <c r="F803"/>
  <c r="F1728"/>
  <c r="I69" i="264"/>
  <c r="K69" s="1"/>
  <c r="D1851" i="268"/>
  <c r="E764"/>
  <c r="E763" s="1"/>
  <c r="F478"/>
  <c r="F390"/>
  <c r="E102"/>
  <c r="E30" i="270"/>
  <c r="E19" i="273"/>
  <c r="E16" s="1"/>
  <c r="F909" i="268"/>
  <c r="F922"/>
  <c r="F591"/>
  <c r="D184"/>
  <c r="D590"/>
  <c r="F2109"/>
  <c r="F899"/>
  <c r="D898"/>
  <c r="F411"/>
  <c r="D410"/>
  <c r="F567"/>
  <c r="E566"/>
  <c r="F566" s="1"/>
  <c r="F1297"/>
  <c r="E469"/>
  <c r="F1106"/>
  <c r="E1053"/>
  <c r="F1101"/>
  <c r="D1100"/>
  <c r="D1038"/>
  <c r="F769"/>
  <c r="D767"/>
  <c r="F1909"/>
  <c r="D1871"/>
  <c r="F1234"/>
  <c r="F877"/>
  <c r="F205"/>
  <c r="F1732"/>
  <c r="D1986"/>
  <c r="F1486"/>
  <c r="F82"/>
  <c r="F2133"/>
  <c r="F2082"/>
  <c r="E2081"/>
  <c r="F2081" s="1"/>
  <c r="E1898"/>
  <c r="D2057"/>
  <c r="E240"/>
  <c r="E799"/>
  <c r="E798" s="1"/>
  <c r="F798" s="1"/>
  <c r="D1922"/>
  <c r="D1910"/>
  <c r="F1910" s="1"/>
  <c r="F1923"/>
  <c r="E2289"/>
  <c r="E2143"/>
  <c r="E1851"/>
  <c r="F1204"/>
  <c r="D1201"/>
  <c r="F553"/>
  <c r="E552"/>
  <c r="E209"/>
  <c r="E185"/>
  <c r="E456"/>
  <c r="F377"/>
  <c r="D376"/>
  <c r="F376" s="1"/>
  <c r="D61"/>
  <c r="F62"/>
  <c r="E193"/>
  <c r="F779"/>
  <c r="F193" s="1"/>
  <c r="F371"/>
  <c r="D1415"/>
  <c r="F160"/>
  <c r="D887"/>
  <c r="F1947"/>
  <c r="D159"/>
  <c r="D16" i="269"/>
  <c r="F86" i="268"/>
  <c r="D1740"/>
  <c r="D62" i="264"/>
  <c r="E1883" i="268"/>
  <c r="E1871"/>
  <c r="E1740"/>
  <c r="E1730" s="1"/>
  <c r="E1409"/>
  <c r="D654"/>
  <c r="F654" s="1"/>
  <c r="E223"/>
  <c r="D243"/>
  <c r="F107"/>
  <c r="E74"/>
  <c r="F629"/>
  <c r="F2073"/>
  <c r="F2066"/>
  <c r="F2209"/>
  <c r="F2118"/>
  <c r="F157"/>
  <c r="D156"/>
  <c r="F156" s="1"/>
  <c r="E2139"/>
  <c r="F2139" s="1"/>
  <c r="F2117"/>
  <c r="F788"/>
  <c r="F448"/>
  <c r="F1813"/>
  <c r="F2089"/>
  <c r="D1872"/>
  <c r="F1872" s="1"/>
  <c r="F1884"/>
  <c r="E2187"/>
  <c r="F2187" s="1"/>
  <c r="E43" i="264"/>
  <c r="E61" s="1"/>
  <c r="F485" i="268"/>
  <c r="F676"/>
  <c r="D481"/>
  <c r="F605"/>
  <c r="F222"/>
  <c r="D2407"/>
  <c r="F2407" s="1"/>
  <c r="F2441"/>
  <c r="E2408"/>
  <c r="F2416"/>
  <c r="E1860"/>
  <c r="E212"/>
  <c r="D199"/>
  <c r="F199" s="1"/>
  <c r="F2417"/>
  <c r="D628"/>
  <c r="D536"/>
  <c r="F519"/>
  <c r="F678"/>
  <c r="D2413"/>
  <c r="D2408" s="1"/>
  <c r="F2169"/>
  <c r="D2105"/>
  <c r="F2105" s="1"/>
  <c r="D438"/>
  <c r="F420"/>
  <c r="D250"/>
  <c r="F289"/>
  <c r="D2023"/>
  <c r="D224"/>
  <c r="D1883"/>
  <c r="F1870" l="1"/>
  <c r="F529"/>
  <c r="F1049"/>
  <c r="D223"/>
  <c r="F223" s="1"/>
  <c r="C55" i="264" s="1"/>
  <c r="I55" s="1"/>
  <c r="K55" s="1"/>
  <c r="D13" i="269"/>
  <c r="F1362" i="268"/>
  <c r="F209"/>
  <c r="F1060"/>
  <c r="F220"/>
  <c r="D551"/>
  <c r="D537" s="1"/>
  <c r="D208"/>
  <c r="F2289"/>
  <c r="E646"/>
  <c r="E194" s="1"/>
  <c r="F647"/>
  <c r="E195"/>
  <c r="F1038"/>
  <c r="E117"/>
  <c r="E116" s="1"/>
  <c r="F184"/>
  <c r="F1028"/>
  <c r="F174"/>
  <c r="C47" i="264" s="1"/>
  <c r="I47" s="1"/>
  <c r="K47" s="1"/>
  <c r="E40" i="268"/>
  <c r="E14" s="1"/>
  <c r="I24" i="264"/>
  <c r="K24" s="1"/>
  <c r="I26"/>
  <c r="K26" s="1"/>
  <c r="C25"/>
  <c r="I25" s="1"/>
  <c r="K25" s="1"/>
  <c r="F898" i="268"/>
  <c r="F1061"/>
  <c r="D20" i="264"/>
  <c r="D61" s="1"/>
  <c r="D242" i="268"/>
  <c r="F2240"/>
  <c r="F410"/>
  <c r="F1048"/>
  <c r="D195"/>
  <c r="D1850"/>
  <c r="F620"/>
  <c r="F29"/>
  <c r="C29" i="264" s="1"/>
  <c r="I29" s="1"/>
  <c r="K29" s="1"/>
  <c r="D873" i="268"/>
  <c r="F873" s="1"/>
  <c r="F210"/>
  <c r="D366"/>
  <c r="F366" s="1"/>
  <c r="E190"/>
  <c r="F241"/>
  <c r="F621"/>
  <c r="F171"/>
  <c r="C45" i="264" s="1"/>
  <c r="I45" s="1"/>
  <c r="K45" s="1"/>
  <c r="F54" i="268"/>
  <c r="C34" i="264" s="1"/>
  <c r="I34" s="1"/>
  <c r="K34" s="1"/>
  <c r="F1454" i="268"/>
  <c r="F147"/>
  <c r="C41" i="264" s="1"/>
  <c r="I41" s="1"/>
  <c r="F185" i="268"/>
  <c r="D1282"/>
  <c r="F1285"/>
  <c r="E238"/>
  <c r="F2057"/>
  <c r="D2051"/>
  <c r="F2051" s="1"/>
  <c r="F1282"/>
  <c r="F438"/>
  <c r="D190"/>
  <c r="F190" s="1"/>
  <c r="F19"/>
  <c r="E395"/>
  <c r="F118"/>
  <c r="C40" i="264" s="1"/>
  <c r="F1249" i="268"/>
  <c r="F243"/>
  <c r="D1894"/>
  <c r="D251"/>
  <c r="F1871"/>
  <c r="F1684"/>
  <c r="F1707"/>
  <c r="F330"/>
  <c r="F401"/>
  <c r="F1078"/>
  <c r="F415"/>
  <c r="D117"/>
  <c r="D116" s="1"/>
  <c r="F458"/>
  <c r="F30"/>
  <c r="D1315"/>
  <c r="F1315" s="1"/>
  <c r="F492"/>
  <c r="F491"/>
  <c r="F536"/>
  <c r="D1027"/>
  <c r="F1027" s="1"/>
  <c r="E73"/>
  <c r="E63" s="1"/>
  <c r="E394"/>
  <c r="E169" s="1"/>
  <c r="D238"/>
  <c r="E1014"/>
  <c r="F1075"/>
  <c r="E178"/>
  <c r="F178" s="1"/>
  <c r="C48" i="264" s="1"/>
  <c r="I48" s="1"/>
  <c r="K48" s="1"/>
  <c r="F775" i="268"/>
  <c r="E772"/>
  <c r="F1085"/>
  <c r="F639"/>
  <c r="F675"/>
  <c r="F2237"/>
  <c r="F435"/>
  <c r="F436"/>
  <c r="G20" i="264"/>
  <c r="G61" s="1"/>
  <c r="I38"/>
  <c r="K38" s="1"/>
  <c r="E13" i="270"/>
  <c r="F1053" i="268"/>
  <c r="E242"/>
  <c r="F159"/>
  <c r="F1901"/>
  <c r="E249"/>
  <c r="F487"/>
  <c r="F224"/>
  <c r="F594"/>
  <c r="F595"/>
  <c r="F1861"/>
  <c r="F212"/>
  <c r="C52" i="264" s="1"/>
  <c r="F2050" i="268"/>
  <c r="F402"/>
  <c r="F264"/>
  <c r="D263"/>
  <c r="E263"/>
  <c r="F1851"/>
  <c r="F74"/>
  <c r="F642"/>
  <c r="D640"/>
  <c r="D33" i="269"/>
  <c r="C20"/>
  <c r="D1730" i="268"/>
  <c r="F1730" s="1"/>
  <c r="F1740"/>
  <c r="F456"/>
  <c r="E183"/>
  <c r="E455"/>
  <c r="E2140"/>
  <c r="F2140" s="1"/>
  <c r="E1850"/>
  <c r="F590"/>
  <c r="D183"/>
  <c r="D589"/>
  <c r="D47" i="269"/>
  <c r="B20"/>
  <c r="F806" i="268"/>
  <c r="D804"/>
  <c r="D501"/>
  <c r="F1326"/>
  <c r="D1226"/>
  <c r="F1265"/>
  <c r="F1226" s="1"/>
  <c r="E1682"/>
  <c r="E1681" s="1"/>
  <c r="E1679" s="1"/>
  <c r="F1683"/>
  <c r="D40"/>
  <c r="F51"/>
  <c r="C33" i="264" s="1"/>
  <c r="D9" i="269"/>
  <c r="C7"/>
  <c r="D7" s="1"/>
  <c r="F251" i="268"/>
  <c r="F799"/>
  <c r="F240"/>
  <c r="F1415"/>
  <c r="D1409"/>
  <c r="F1409" s="1"/>
  <c r="F61"/>
  <c r="D60"/>
  <c r="F60" s="1"/>
  <c r="C35" i="264" s="1"/>
  <c r="I35" s="1"/>
  <c r="K35" s="1"/>
  <c r="E551" i="268"/>
  <c r="F552"/>
  <c r="E427"/>
  <c r="E1894"/>
  <c r="D742"/>
  <c r="F742" s="1"/>
  <c r="F767"/>
  <c r="H52" i="264"/>
  <c r="H44" s="1"/>
  <c r="H43" s="1"/>
  <c r="H61" s="1"/>
  <c r="E22" i="273"/>
  <c r="F955" i="268"/>
  <c r="D931"/>
  <c r="F1696"/>
  <c r="D1682"/>
  <c r="F16"/>
  <c r="D15"/>
  <c r="F465"/>
  <c r="E464"/>
  <c r="F464" s="1"/>
  <c r="D1071"/>
  <c r="F1071" s="1"/>
  <c r="F1576"/>
  <c r="I81" i="264"/>
  <c r="K81" s="1"/>
  <c r="C62"/>
  <c r="I62" s="1"/>
  <c r="K62" s="1"/>
  <c r="F1898" i="268"/>
  <c r="F172"/>
  <c r="C46" i="264" s="1"/>
  <c r="I46" s="1"/>
  <c r="K46" s="1"/>
  <c r="D22" i="269"/>
  <c r="E208" i="268"/>
  <c r="E871"/>
  <c r="F1201"/>
  <c r="E2283"/>
  <c r="F2283" s="1"/>
  <c r="D1860"/>
  <c r="F1860" s="1"/>
  <c r="F1922"/>
  <c r="F102"/>
  <c r="C37" i="264" s="1"/>
  <c r="I37" s="1"/>
  <c r="K37" s="1"/>
  <c r="E101" i="268"/>
  <c r="F101" s="1"/>
  <c r="F887"/>
  <c r="F1986"/>
  <c r="D1908"/>
  <c r="F1908" s="1"/>
  <c r="D1037"/>
  <c r="F1100"/>
  <c r="F469"/>
  <c r="D409"/>
  <c r="D1200"/>
  <c r="F1219"/>
  <c r="D686"/>
  <c r="D1497"/>
  <c r="F1497" s="1"/>
  <c r="F1500"/>
  <c r="F64"/>
  <c r="D763"/>
  <c r="F764"/>
  <c r="F1233"/>
  <c r="E1037"/>
  <c r="E1227"/>
  <c r="F98"/>
  <c r="D96"/>
  <c r="F96" s="1"/>
  <c r="E1837"/>
  <c r="F1883"/>
  <c r="F388"/>
  <c r="D394"/>
  <c r="F2143"/>
  <c r="D451"/>
  <c r="F451" s="1"/>
  <c r="F481"/>
  <c r="F781"/>
  <c r="D780"/>
  <c r="D585"/>
  <c r="F585" s="1"/>
  <c r="F628"/>
  <c r="D777"/>
  <c r="F2413"/>
  <c r="F250"/>
  <c r="D249"/>
  <c r="D1837"/>
  <c r="F2023"/>
  <c r="F1782"/>
  <c r="F1850" l="1"/>
  <c r="F242"/>
  <c r="C59" i="264" s="1"/>
  <c r="I59" s="1"/>
  <c r="K59" s="1"/>
  <c r="F116" i="268"/>
  <c r="F238"/>
  <c r="C58" i="264" s="1"/>
  <c r="C56" s="1"/>
  <c r="I56" s="1"/>
  <c r="K56" s="1"/>
  <c r="F394" i="268"/>
  <c r="E13"/>
  <c r="E12" s="1"/>
  <c r="F40"/>
  <c r="F117"/>
  <c r="D872"/>
  <c r="F872" s="1"/>
  <c r="E207"/>
  <c r="F1894"/>
  <c r="D20" i="269"/>
  <c r="F183" i="268"/>
  <c r="D73"/>
  <c r="F73" s="1"/>
  <c r="C42" i="264"/>
  <c r="I42" s="1"/>
  <c r="K42" s="1"/>
  <c r="F249" i="268"/>
  <c r="F195"/>
  <c r="E1838"/>
  <c r="F263"/>
  <c r="F208"/>
  <c r="F1837"/>
  <c r="E869"/>
  <c r="E1676" s="1"/>
  <c r="E870"/>
  <c r="D683"/>
  <c r="F683" s="1"/>
  <c r="F686"/>
  <c r="D207"/>
  <c r="F409"/>
  <c r="F395" s="1"/>
  <c r="D395"/>
  <c r="F15"/>
  <c r="D14"/>
  <c r="I33" i="264"/>
  <c r="K33" s="1"/>
  <c r="C30"/>
  <c r="D771" i="268"/>
  <c r="F771" s="1"/>
  <c r="F804"/>
  <c r="F589"/>
  <c r="D586"/>
  <c r="F586" s="1"/>
  <c r="I52" i="264"/>
  <c r="K52" s="1"/>
  <c r="F1037" i="268"/>
  <c r="F763"/>
  <c r="D234"/>
  <c r="E537"/>
  <c r="F537" s="1"/>
  <c r="F551"/>
  <c r="E1680"/>
  <c r="E2502"/>
  <c r="F501"/>
  <c r="D213"/>
  <c r="F213" s="1"/>
  <c r="C54" i="264" s="1"/>
  <c r="I54" s="1"/>
  <c r="K54" s="1"/>
  <c r="D488" i="268"/>
  <c r="F488" s="1"/>
  <c r="E452"/>
  <c r="F455"/>
  <c r="E182"/>
  <c r="D1015"/>
  <c r="E640"/>
  <c r="F640" s="1"/>
  <c r="F646"/>
  <c r="E234"/>
  <c r="F427"/>
  <c r="F1227"/>
  <c r="E1015"/>
  <c r="F1200"/>
  <c r="D1014"/>
  <c r="F1014" s="1"/>
  <c r="I40" i="264"/>
  <c r="K40" s="1"/>
  <c r="C39"/>
  <c r="I39" s="1"/>
  <c r="D1681" i="268"/>
  <c r="D1679" s="1"/>
  <c r="F1682"/>
  <c r="F931"/>
  <c r="D921"/>
  <c r="F921" s="1"/>
  <c r="D169"/>
  <c r="F169" s="1"/>
  <c r="F780"/>
  <c r="D194"/>
  <c r="F194" s="1"/>
  <c r="C51" i="264" s="1"/>
  <c r="I51" s="1"/>
  <c r="K51" s="1"/>
  <c r="D182" i="268"/>
  <c r="D772"/>
  <c r="F777"/>
  <c r="D1838"/>
  <c r="F2408"/>
  <c r="F1781"/>
  <c r="F1838" l="1"/>
  <c r="I58" i="264"/>
  <c r="K58" s="1"/>
  <c r="E11" i="268"/>
  <c r="E865" s="1"/>
  <c r="F207"/>
  <c r="C53" i="264" s="1"/>
  <c r="I53" s="1"/>
  <c r="K53" s="1"/>
  <c r="D63" i="268"/>
  <c r="F63" s="1"/>
  <c r="C36" i="264" s="1"/>
  <c r="I36" s="1"/>
  <c r="K36" s="1"/>
  <c r="F182" i="268"/>
  <c r="C50" i="264" s="1"/>
  <c r="D2502" i="268"/>
  <c r="F2502" s="1"/>
  <c r="D1680"/>
  <c r="F1680" s="1"/>
  <c r="F1681"/>
  <c r="F14"/>
  <c r="I30" i="264"/>
  <c r="K30" s="1"/>
  <c r="C22"/>
  <c r="F452" i="268"/>
  <c r="E170"/>
  <c r="F1015"/>
  <c r="F234"/>
  <c r="D871"/>
  <c r="D869" s="1"/>
  <c r="F772"/>
  <c r="D170"/>
  <c r="D13" l="1"/>
  <c r="D11" s="1"/>
  <c r="F11" s="1"/>
  <c r="I50" i="264"/>
  <c r="J41"/>
  <c r="C44"/>
  <c r="C43" s="1"/>
  <c r="F170" i="268"/>
  <c r="F1679"/>
  <c r="C21" i="264"/>
  <c r="I22"/>
  <c r="K22" s="1"/>
  <c r="D870" i="268"/>
  <c r="F870" s="1"/>
  <c r="F871"/>
  <c r="F13" l="1"/>
  <c r="D12"/>
  <c r="F12" s="1"/>
  <c r="I44" i="264"/>
  <c r="J44"/>
  <c r="J43" s="1"/>
  <c r="K50"/>
  <c r="C20"/>
  <c r="I20" s="1"/>
  <c r="I21"/>
  <c r="K21" s="1"/>
  <c r="D865" i="268"/>
  <c r="F865" s="1"/>
  <c r="D1676"/>
  <c r="F1676" s="1"/>
  <c r="F869"/>
  <c r="I43" i="264"/>
  <c r="K41"/>
  <c r="J39"/>
  <c r="K44" l="1"/>
  <c r="C61"/>
  <c r="J20"/>
  <c r="K39"/>
  <c r="K43"/>
  <c r="I61"/>
  <c r="J61" l="1"/>
  <c r="K20"/>
  <c r="K61" s="1"/>
</calcChain>
</file>

<file path=xl/comments1.xml><?xml version="1.0" encoding="utf-8"?>
<comments xmlns="http://schemas.openxmlformats.org/spreadsheetml/2006/main">
  <authors>
    <author>contabilitate8</author>
  </authors>
  <commentList>
    <comment ref="D1796" authorId="0">
      <text>
        <r>
          <rPr>
            <b/>
            <sz val="9"/>
            <color indexed="81"/>
            <rFont val="Tahoma"/>
            <family val="2"/>
            <charset val="238"/>
          </rPr>
          <t>contabilitate8:</t>
        </r>
        <r>
          <rPr>
            <sz val="9"/>
            <color indexed="81"/>
            <rFont val="Tahoma"/>
            <family val="2"/>
            <charset val="238"/>
          </rPr>
          <t xml:space="preserve">
CURCUBEU</t>
        </r>
      </text>
    </comment>
    <comment ref="E1796" authorId="0">
      <text>
        <r>
          <rPr>
            <b/>
            <sz val="9"/>
            <color indexed="81"/>
            <rFont val="Tahoma"/>
            <family val="2"/>
            <charset val="238"/>
          </rPr>
          <t>contabilitate8:</t>
        </r>
        <r>
          <rPr>
            <sz val="9"/>
            <color indexed="81"/>
            <rFont val="Tahoma"/>
            <family val="2"/>
            <charset val="238"/>
          </rPr>
          <t xml:space="preserve">
CURCUBEU</t>
        </r>
      </text>
    </comment>
  </commentList>
</comments>
</file>

<file path=xl/sharedStrings.xml><?xml version="1.0" encoding="utf-8"?>
<sst xmlns="http://schemas.openxmlformats.org/spreadsheetml/2006/main" count="4363" uniqueCount="1076">
  <si>
    <t>A3.  IMPOZITE SI TAXE PE PROPRIETATE</t>
  </si>
  <si>
    <t xml:space="preserve">Impozite si  taxe pe proprietate </t>
  </si>
  <si>
    <t>Impozit pe cladiri de la persoane fizice *)</t>
  </si>
  <si>
    <t xml:space="preserve">Impozitul si taxa pe teren </t>
  </si>
  <si>
    <t>42.02.62</t>
  </si>
  <si>
    <t>Impozit pe terenuri de la persoane fizice *)</t>
  </si>
  <si>
    <t xml:space="preserve">Alte impozite si taxe  pe proprietate </t>
  </si>
  <si>
    <t xml:space="preserve">A4.  IMPOZITE SI TAXE PE BUNURI SI SERVICII </t>
  </si>
  <si>
    <t xml:space="preserve">Sume defalcate din TVA </t>
  </si>
  <si>
    <t>Sume defalcate din taxa pe valoarea adăugată pentru finanţarea cheltuielilor descentralizate la nivelul comunelor, oraşelor, municipiilor şi sectoarelor Municipiului Bucureşti</t>
  </si>
  <si>
    <t xml:space="preserve">Sume defalcate din taxa pe valoarea adaugata pentru subventionarea energiei termice livrate populatiei                                                                                                                                                    </t>
  </si>
  <si>
    <t>Sume defalcate din taxa pe valoarea adăugată pentru echilibrarea bugetelor locale</t>
  </si>
  <si>
    <t xml:space="preserve">Alte impozite si taxe generale pe bunuri si servicii </t>
  </si>
  <si>
    <t xml:space="preserve">Taxe pe servicii specifice </t>
  </si>
  <si>
    <t>Impozit pe spectacole</t>
  </si>
  <si>
    <t>15.02.50</t>
  </si>
  <si>
    <t xml:space="preserve">Taxe pe utilizarea bunurilor, autorizarea utilizarii bunurilor sau pe desfasurarea de activitati </t>
  </si>
  <si>
    <t>Alte taxe pe utilizarea bunurilor, autorizarea utilizarii bunurilor sau pe desfasurare de activitati</t>
  </si>
  <si>
    <t>A6.  ALTE IMPOZITE SI  TAXE  FISCALE</t>
  </si>
  <si>
    <t xml:space="preserve">Alte impozite si taxe fiscale </t>
  </si>
  <si>
    <t xml:space="preserve">C.   VENITURI NEFISCALE </t>
  </si>
  <si>
    <t>C1.  VENITURI DIN PROPRIETATE</t>
  </si>
  <si>
    <t xml:space="preserve">Venituri din proprietate </t>
  </si>
  <si>
    <t>Varsaminte din profitul net al regiilor autonome de sub autoritatea consiliilor judeţene şi locale</t>
  </si>
  <si>
    <t xml:space="preserve">C2.  VANZARI DE BUNURI SI SERVICII </t>
  </si>
  <si>
    <t xml:space="preserve">Venituri din prestari de servicii si alte activitati </t>
  </si>
  <si>
    <t xml:space="preserve">Venituri din taxe administrative, eliberari permise </t>
  </si>
  <si>
    <t>Amenzi, penalitati si confiscari</t>
  </si>
  <si>
    <t>Venituri din amenzi si alte sanctiuni aplicate potrivit dispozitiilor legale</t>
  </si>
  <si>
    <t>Penalitati pentru nedepunerea sau depunerea cu intirziere a declaratiei de impozite si taxe</t>
  </si>
  <si>
    <t xml:space="preserve">Transferuri voluntare,  altele decat subventiile </t>
  </si>
  <si>
    <t>Donatii si sponsorizari</t>
  </si>
  <si>
    <t>37.02.50</t>
  </si>
  <si>
    <t xml:space="preserve">II. VENITURI DIN CAPITAL            </t>
  </si>
  <si>
    <t>Venituri din valorificarea unor bunuri</t>
  </si>
  <si>
    <t>Venituri din vanzarea locuintelor construite din fondurile statului</t>
  </si>
  <si>
    <t>Venituri din vanzarea unor bunuri apartinand domeniului privat</t>
  </si>
  <si>
    <t xml:space="preserve">III. OPERAŢIUNI FINANCIARE </t>
  </si>
  <si>
    <t>Încasări din rambursarea împrumuturilor acordate</t>
  </si>
  <si>
    <t>Încasări din rambursarea împrumuturilor pentru înfiinţarea unor instituţii şi servicii publice de interes local sau a unor activităţi finanţate integral din venituri proprii</t>
  </si>
  <si>
    <t>IV.  SUBVENTII</t>
  </si>
  <si>
    <t>SUBVENTII DE LA ALTE NIVELE ALE ADMINISTRATIEI PUBLICE</t>
  </si>
  <si>
    <t>Subventii de la bugetul de stat</t>
  </si>
  <si>
    <t>Finantarea  lucrărilor de cadastru imobiliar</t>
  </si>
  <si>
    <t>Sprijin financiar pentru constiturea familiei</t>
  </si>
  <si>
    <t>42.02.33</t>
  </si>
  <si>
    <t xml:space="preserve">Subventii de la alte administratii </t>
  </si>
  <si>
    <t xml:space="preserve">TOTAL CHELTUIELI </t>
  </si>
  <si>
    <t>49.02</t>
  </si>
  <si>
    <t>01</t>
  </si>
  <si>
    <t xml:space="preserve">Dobanzi aferente datoriei publice interne </t>
  </si>
  <si>
    <t>30.01</t>
  </si>
  <si>
    <t>40</t>
  </si>
  <si>
    <t>Subvenţii pentru acoperirea diferenţelor de preţ şi tarif</t>
  </si>
  <si>
    <t>TITLUL VI TRANSFERURI INTRE UNITATI ALE ADMINISTRATIEI PUBLICE</t>
  </si>
  <si>
    <t xml:space="preserve">Transferuri curente </t>
  </si>
  <si>
    <t>51.01</t>
  </si>
  <si>
    <t>Transferuri catre instituţii publice</t>
  </si>
  <si>
    <t>51.01.01</t>
  </si>
  <si>
    <t xml:space="preserve">Actiuni de sanatate </t>
  </si>
  <si>
    <t>51.01.03</t>
  </si>
  <si>
    <t xml:space="preserve">Transferuri privind contribuţii de sănătate pentru persoane beneficiare de ajutor social </t>
  </si>
  <si>
    <t>51.01.31</t>
  </si>
  <si>
    <t>Transferuri de capital</t>
  </si>
  <si>
    <t xml:space="preserve">Transferuri pentru finanţarea investiţiilor la spitale </t>
  </si>
  <si>
    <t>51.02.12</t>
  </si>
  <si>
    <t>A. Transferuri interne</t>
  </si>
  <si>
    <t>55.01</t>
  </si>
  <si>
    <t>Investitii ale regiilor autonome si societatilor comerciale cu capital de stat</t>
  </si>
  <si>
    <t xml:space="preserve"> Ajutoare sociale </t>
  </si>
  <si>
    <t>57.02</t>
  </si>
  <si>
    <t xml:space="preserve"> Ajutoare sociale in numerar</t>
  </si>
  <si>
    <t>57.02.01</t>
  </si>
  <si>
    <t xml:space="preserve"> Ajutoare sociale in natura </t>
  </si>
  <si>
    <t>57.02.02</t>
  </si>
  <si>
    <t>Burse</t>
  </si>
  <si>
    <t>59.01</t>
  </si>
  <si>
    <t>Asociatii si fundatii</t>
  </si>
  <si>
    <t>Sustinerea cultelor (rd.389)</t>
  </si>
  <si>
    <t xml:space="preserve">Active fixe 
</t>
  </si>
  <si>
    <t>71.01</t>
  </si>
  <si>
    <t>Construcţii</t>
  </si>
  <si>
    <t>71.01.01</t>
  </si>
  <si>
    <t>Maşini, echipamente si mijloace de transport</t>
  </si>
  <si>
    <t>71.01.02</t>
  </si>
  <si>
    <t xml:space="preserve">Mobilier, aparatură birotică şi alte active corporale </t>
  </si>
  <si>
    <t>71.01.03</t>
  </si>
  <si>
    <t xml:space="preserve">Alte active fixe </t>
  </si>
  <si>
    <t>71.01.30</t>
  </si>
  <si>
    <t xml:space="preserve">TITLUL XIII RAMBURSARI DE CREDITE </t>
  </si>
  <si>
    <t xml:space="preserve">Excedent </t>
  </si>
  <si>
    <t>92.01</t>
  </si>
  <si>
    <t xml:space="preserve">Autoritati publice si actiuni externe </t>
  </si>
  <si>
    <t>Active fixe (rd.199 la 202)</t>
  </si>
  <si>
    <t>Mobilier, aparatură birotică şi alte active corporale</t>
  </si>
  <si>
    <t xml:space="preserve">Autoritati executive si legislative </t>
  </si>
  <si>
    <t>51.02.01</t>
  </si>
  <si>
    <t>Autorităţi executive</t>
  </si>
  <si>
    <t>Alte servicii publice generale</t>
  </si>
  <si>
    <t>CHELTUIELI CURENTE</t>
  </si>
  <si>
    <t>Transferuri către instituţii publice</t>
  </si>
  <si>
    <t xml:space="preserve">Tranzacţii privind datoria publică şi împrumuturi </t>
  </si>
  <si>
    <t>Dobanzi aferente datoriei publice interne</t>
  </si>
  <si>
    <t xml:space="preserve">Transferuri cu caracter general intre diferite nivele ale administratiei </t>
  </si>
  <si>
    <t>56.02</t>
  </si>
  <si>
    <t>Transferuri curente</t>
  </si>
  <si>
    <t>Transferuri privind contribuţii de sănătate pentru persoane beneficiare de ajutor social</t>
  </si>
  <si>
    <t>Transferuri din bugetele locale către bugetul fondului de asigurări sociale de sănătate</t>
  </si>
  <si>
    <t>59.02</t>
  </si>
  <si>
    <t xml:space="preserve">Ordine publica si siguranta nationala </t>
  </si>
  <si>
    <t>Active fixe</t>
  </si>
  <si>
    <t>Protectie civila şi protecţia contra incendiilor (protecţie civilă nonmilitară)</t>
  </si>
  <si>
    <t>64.02</t>
  </si>
  <si>
    <t>Invatamant</t>
  </si>
  <si>
    <t xml:space="preserve">CHELTUIELI CURENTE </t>
  </si>
  <si>
    <t xml:space="preserve">Burse </t>
  </si>
  <si>
    <t>CHELTUIELI DE CAPITAL</t>
  </si>
  <si>
    <t>Învatamânt prescolar si primar</t>
  </si>
  <si>
    <t>65.02.03</t>
  </si>
  <si>
    <t>Învatamânt prescolar</t>
  </si>
  <si>
    <t>Învatamânt primar</t>
  </si>
  <si>
    <t xml:space="preserve">Învatamânt secundar </t>
  </si>
  <si>
    <t xml:space="preserve">Învatamânt secundar superior   </t>
  </si>
  <si>
    <t>65.02.04.02</t>
  </si>
  <si>
    <t xml:space="preserve">Sanatate </t>
  </si>
  <si>
    <t xml:space="preserve">Transferuri de capital </t>
  </si>
  <si>
    <t xml:space="preserve"> Ajutoare sociale in natura</t>
  </si>
  <si>
    <t xml:space="preserve">Active fixe </t>
  </si>
  <si>
    <t xml:space="preserve">Servicii  medicale in unitati sanitare cu paturi </t>
  </si>
  <si>
    <t>Spitale generale</t>
  </si>
  <si>
    <t>66.02.06.01</t>
  </si>
  <si>
    <t>Alte cheltuieli in domeniu sanatatii</t>
  </si>
  <si>
    <t>Alte institutii si actiuni sanitare</t>
  </si>
  <si>
    <t>66.02.50.50</t>
  </si>
  <si>
    <t xml:space="preserve">Cultura, recreere si religie </t>
  </si>
  <si>
    <t>TITLUL VI TRANSFERURI INTRE UNITATI ALE ADMINISTRATIEI PUBLICE (rd.382)</t>
  </si>
  <si>
    <t xml:space="preserve">Asociaţii şi fundaţii </t>
  </si>
  <si>
    <t xml:space="preserve">Susţinerea cultelor </t>
  </si>
  <si>
    <t xml:space="preserve">Servicii culturale </t>
  </si>
  <si>
    <t>67.02.03</t>
  </si>
  <si>
    <t>Institutii publice de spectacole si concerte</t>
  </si>
  <si>
    <t>Servicii recreative si sportive</t>
  </si>
  <si>
    <t>67.02.05</t>
  </si>
  <si>
    <t>Intretinere gradini publice, parcuri, zone verzi, baze sportive si de agrement</t>
  </si>
  <si>
    <t>67.02.05.03</t>
  </si>
  <si>
    <t>Alte servicii în domeniile culturii, recreerii si religiei</t>
  </si>
  <si>
    <t>Asigurari si asistenta sociala</t>
  </si>
  <si>
    <t xml:space="preserve"> Ajutoare sociale</t>
  </si>
  <si>
    <t xml:space="preserve">Asistenta sociala in caz de boli si invaliditati </t>
  </si>
  <si>
    <t>68.02.05</t>
  </si>
  <si>
    <t>Asistenta sociala  in  caz de invaliditate</t>
  </si>
  <si>
    <t>Asistenta sociala pentru familie si copii</t>
  </si>
  <si>
    <t>68.02.06</t>
  </si>
  <si>
    <t>Creşe</t>
  </si>
  <si>
    <t>Prevenirea excluderii sociale</t>
  </si>
  <si>
    <t>68.02.15</t>
  </si>
  <si>
    <t>Ajutor social</t>
  </si>
  <si>
    <t>69.02</t>
  </si>
  <si>
    <t xml:space="preserve">Locuinte, servicii si dezvoltare publica </t>
  </si>
  <si>
    <t>55</t>
  </si>
  <si>
    <t>A. Transferuri interne.</t>
  </si>
  <si>
    <t>Locuinte</t>
  </si>
  <si>
    <t>70.02.03</t>
  </si>
  <si>
    <t>70.02.03.01</t>
  </si>
  <si>
    <t xml:space="preserve">Alimentare cu apa si amenajari hidrotehnice </t>
  </si>
  <si>
    <t>70.02.05</t>
  </si>
  <si>
    <t>70.02.05.01</t>
  </si>
  <si>
    <t>Iluminat public si electrificari rurale</t>
  </si>
  <si>
    <t>70.02.06</t>
  </si>
  <si>
    <t xml:space="preserve">Alte servicii în domeniile locuintelor, serviciilor si dezvoltarii comunale </t>
  </si>
  <si>
    <t>70.02.50</t>
  </si>
  <si>
    <t>Protectia mediului</t>
  </si>
  <si>
    <t xml:space="preserve">A. Transferuri interne. </t>
  </si>
  <si>
    <t>Salubritate si gestiunea deseurilor</t>
  </si>
  <si>
    <t>Salubritate</t>
  </si>
  <si>
    <t>74.02.05.01</t>
  </si>
  <si>
    <t>79.02</t>
  </si>
  <si>
    <t xml:space="preserve">Actiuni generale economice, comerciale si de munca </t>
  </si>
  <si>
    <t>Actiuni generale economice si comerciale</t>
  </si>
  <si>
    <t>80.02.01</t>
  </si>
  <si>
    <t>Combustibili si energie</t>
  </si>
  <si>
    <t>Energie termica</t>
  </si>
  <si>
    <t xml:space="preserve">Agricultura, silvicultura, piscicultura si vanatoare </t>
  </si>
  <si>
    <t xml:space="preserve">Agricultura </t>
  </si>
  <si>
    <t>83.02.03</t>
  </si>
  <si>
    <t xml:space="preserve">Alte cheltuieli în domeniul agriculturii </t>
  </si>
  <si>
    <t>Transport rutier</t>
  </si>
  <si>
    <t>84.02.03</t>
  </si>
  <si>
    <t>Impozit pe cladiri de la persoane juridice *)</t>
  </si>
  <si>
    <t>Impozit pe terenuri de la persoane juridice *)</t>
  </si>
  <si>
    <t>Sume defalcate din taxa pe valoarea adăugată pentru finanţarea cheltuielilor descentralizate la nivelul judeţelor  şi Municipiului Bucureşti</t>
  </si>
  <si>
    <t>11.02.01</t>
  </si>
  <si>
    <t xml:space="preserve">Sume defalcate din taxa pe valoarea adăugată pentru sistemele centralizate de producere şi distribuţie a energiei termice </t>
  </si>
  <si>
    <t>11.02.04</t>
  </si>
  <si>
    <t xml:space="preserve">Sume defalcate din taxa pe valoarea adăugată pentru drumuri </t>
  </si>
  <si>
    <t>11.02.05</t>
  </si>
  <si>
    <t>Alte venituri din proprietate</t>
  </si>
  <si>
    <t>30.02.50</t>
  </si>
  <si>
    <t>31.02</t>
  </si>
  <si>
    <t>Alte venituri din dobanzi</t>
  </si>
  <si>
    <t>31.02.03</t>
  </si>
  <si>
    <t>Taxe din activitati cadastrale si agricultura</t>
  </si>
  <si>
    <t>33.02.24</t>
  </si>
  <si>
    <t>Alte venituri din prestari de servicii si alte activitati</t>
  </si>
  <si>
    <t>33.02.50</t>
  </si>
  <si>
    <t>Alte venituri din taxe administrative, eliberari permise</t>
  </si>
  <si>
    <t>34.02.50</t>
  </si>
  <si>
    <t>Incasari din valorificarea bunurilor confiscate, abandonate si alte sume constatate odata cu  confiscarea potrivit legii</t>
  </si>
  <si>
    <t>35.02.03</t>
  </si>
  <si>
    <t>Alte amenzi, penalitati si confiscari</t>
  </si>
  <si>
    <t xml:space="preserve">Varsaminte din veniturile si/sau disponibilitatile institutiilor publice </t>
  </si>
  <si>
    <t>Venituri din valorificarea unor bunuri ale institutiilor publice</t>
  </si>
  <si>
    <t>39.02.01</t>
  </si>
  <si>
    <t>Încasări din rambursarea microcreditelor de la persoane fizice şi juridice</t>
  </si>
  <si>
    <t>40.02.07</t>
  </si>
  <si>
    <t>Împrumuturi temporare din trezoreria statului*)</t>
  </si>
  <si>
    <t>40.02.10</t>
  </si>
  <si>
    <t xml:space="preserve">Sume din fondul de rulment pentru acoperirea golurilor temporare de casă*) </t>
  </si>
  <si>
    <t>40.02.11</t>
  </si>
  <si>
    <t>Încasări din rambursarea altor împrumuturi acordate</t>
  </si>
  <si>
    <t>40.02.50</t>
  </si>
  <si>
    <t>Retehnologizarea centralelor termice şi electrice  de termoficare</t>
  </si>
  <si>
    <t>42.02.01</t>
  </si>
  <si>
    <t>Investitii finantate partial din imprumuturi externe</t>
  </si>
  <si>
    <t>42.02.03</t>
  </si>
  <si>
    <t>Aeroporturi de interes local</t>
  </si>
  <si>
    <t>42.02.04</t>
  </si>
  <si>
    <t>Planuri si  regulamente de urbanism</t>
  </si>
  <si>
    <t>42.02.05</t>
  </si>
  <si>
    <t>Străzi care se vor amenaja în perimetrele destinate construcţiilor de cvartale de locuinţe noi</t>
  </si>
  <si>
    <t>Finanţarea programului de pietruire a drumurilor comunale şi alimentare cu apă a satelor</t>
  </si>
  <si>
    <t>42.02.09</t>
  </si>
  <si>
    <t>Finanţarea acţiunilor privind reducerea riscului seismic al construcţiilor existente cu destinaţie de locuinţă</t>
  </si>
  <si>
    <t>42.02.10</t>
  </si>
  <si>
    <t>Finantarea drepturilor acordate persoanelor cu handicap</t>
  </si>
  <si>
    <t>42.02.21</t>
  </si>
  <si>
    <t>Subventii primite din Fondul de Interventie</t>
  </si>
  <si>
    <t>42.02.28</t>
  </si>
  <si>
    <t>Subventii primite de  la alte bugete locale pentru instituţiile de asistenţă socială pentru persoanele cu handicap</t>
  </si>
  <si>
    <t>43.02.07</t>
  </si>
  <si>
    <t>Din care :                                                                                                                                                                                       Comisioane  si alte costuri aferente imprumuturilor (rd.243)</t>
  </si>
  <si>
    <t>20.24</t>
  </si>
  <si>
    <t xml:space="preserve">Dobanzi aferente datoriei publice externe </t>
  </si>
  <si>
    <t>Alte dobanzi</t>
  </si>
  <si>
    <t>30.03</t>
  </si>
  <si>
    <t>TITLUL V FONDURI DE REZERVA</t>
  </si>
  <si>
    <t>Fond de rezerva bugetara la dispozitia autoritatilor locale (rd.217) **)</t>
  </si>
  <si>
    <t>50.04</t>
  </si>
  <si>
    <t xml:space="preserve">Transferuri din bugetele consiliilor judetene pentru finantarea centrelor de zi pentru protectia copilului </t>
  </si>
  <si>
    <t>51.01.14</t>
  </si>
  <si>
    <t xml:space="preserve">Transferuri din bugetele locale pentru institutiile de asistenta sociala pentru persoanele cu handicap </t>
  </si>
  <si>
    <t>51.01.15</t>
  </si>
  <si>
    <t>Mecanismul financiar SEE</t>
  </si>
  <si>
    <t xml:space="preserve">Transferuri din bugetele consiliilor locale şi judeţene pentru acordarea unor ajutoare către unităţile administrativ-teritoriale în situaţii de extremă dificultate </t>
  </si>
  <si>
    <t>51.01.24</t>
  </si>
  <si>
    <t>Programe cu finantare rambursabila</t>
  </si>
  <si>
    <t>55.01.03</t>
  </si>
  <si>
    <t>Programe PHARE si alte programe cu finantare nerambursabila (rd.192+225+430+508)</t>
  </si>
  <si>
    <t>55.01.08</t>
  </si>
  <si>
    <t xml:space="preserve">Programe de dezvoltare </t>
  </si>
  <si>
    <t>55.01.13</t>
  </si>
  <si>
    <t xml:space="preserve">Fond Roman de  Dezvoltare Sociala </t>
  </si>
  <si>
    <t>55.01.15</t>
  </si>
  <si>
    <t xml:space="preserve">Ajutoare pentru daune provocate de calamităţile naturale </t>
  </si>
  <si>
    <t>Contributii la salarizarea personalului neclerical (rd.390)</t>
  </si>
  <si>
    <t>59.15</t>
  </si>
  <si>
    <t>Despagubiri civile (rd.195)</t>
  </si>
  <si>
    <t>59.17</t>
  </si>
  <si>
    <t>Reparaţii capitale aferente activelor fixe</t>
  </si>
  <si>
    <t>71.03</t>
  </si>
  <si>
    <t>Active financiare</t>
  </si>
  <si>
    <t>72.01</t>
  </si>
  <si>
    <t xml:space="preserve">Participare la capitalul social al societatilor comerciale </t>
  </si>
  <si>
    <t>72.01.01</t>
  </si>
  <si>
    <t>Împrumuturi pentru institutii si servicii publice sau activitati finantate integral din venituri proprii (rd.664)</t>
  </si>
  <si>
    <t>80.03</t>
  </si>
  <si>
    <t>Alte imprumuturi (rd.665)</t>
  </si>
  <si>
    <t>80.30</t>
  </si>
  <si>
    <t xml:space="preserve">Rambursari de credite externe </t>
  </si>
  <si>
    <t>81.01</t>
  </si>
  <si>
    <t>91.01</t>
  </si>
  <si>
    <t>Deficit</t>
  </si>
  <si>
    <t>93.01</t>
  </si>
  <si>
    <t>TITLUL VI TRANSFERURI INTRE UNITATI ALE ADMINISTRATIEI PUBLICE (rd.188)</t>
  </si>
  <si>
    <t>TITLUL VII ALTE TRANSFERURI (rd.191)</t>
  </si>
  <si>
    <t xml:space="preserve">Programe PHARE si alte programe cu finantare nerambursabila </t>
  </si>
  <si>
    <t>TITLUL IX ALTE CHELTUIELI (rd.195)</t>
  </si>
  <si>
    <t>Rambursari de credite externe</t>
  </si>
  <si>
    <t>42.02.14</t>
  </si>
  <si>
    <t>42.02.34</t>
  </si>
  <si>
    <t>42.02.36</t>
  </si>
  <si>
    <t>42.02.19</t>
  </si>
  <si>
    <t>57.02.04</t>
  </si>
  <si>
    <t>Impozit pe veniturile din transferul proprietatilor imobiliare din patrimon. pers.</t>
  </si>
  <si>
    <t xml:space="preserve">Finantarea cheltuielilor de capital ale unitatilor de invatamant preuniversitar </t>
  </si>
  <si>
    <t>Subventii primite din Fondul National de Dezvoltare</t>
  </si>
  <si>
    <t>42.02.15</t>
  </si>
  <si>
    <t xml:space="preserve">Subventii pentru bugetele locale pentru activit finantate prin Programul Operational Regional 2007-2013 </t>
  </si>
  <si>
    <t>Subventii pt compensarea preturilor la combustibil</t>
  </si>
  <si>
    <t xml:space="preserve">Subv.pentru acordarea ajutorului pt lemne ,carburanti </t>
  </si>
  <si>
    <t xml:space="preserve">Subventii pentru trusou nou-nascuti </t>
  </si>
  <si>
    <t>Transferuri</t>
  </si>
  <si>
    <t>Transporturi</t>
  </si>
  <si>
    <t xml:space="preserve">87 02 </t>
  </si>
  <si>
    <t xml:space="preserve">TITLUL VII ALTE  TRANSFERURI </t>
  </si>
  <si>
    <t xml:space="preserve">Alte transferuri curente  </t>
  </si>
  <si>
    <t>Alte transferuri  curente interne</t>
  </si>
  <si>
    <t>51.01.18</t>
  </si>
  <si>
    <t>Tichete cadou acordate pentru cheltuieli sociale</t>
  </si>
  <si>
    <t>42.02.32</t>
  </si>
  <si>
    <t xml:space="preserve">Ajutoare pentru daune provocate de calamitati </t>
  </si>
  <si>
    <t>Plati efectuate in anii precedenti si recuperate in anul curent</t>
  </si>
  <si>
    <t>85.01</t>
  </si>
  <si>
    <t>TITLUL XV PLATI EFECTUATE IN ANII PRECEDENTI</t>
  </si>
  <si>
    <t xml:space="preserve">Tichete cadou </t>
  </si>
  <si>
    <t>Programe din Fondul European de Dezvoltare Regionala</t>
  </si>
  <si>
    <t xml:space="preserve">TITLUL IX  ASISTENTA SOCIALA </t>
  </si>
  <si>
    <t xml:space="preserve">TITLUL XII  ACTIVE NEFINANCIARE </t>
  </si>
  <si>
    <t>TITLUL XVII PLATI EFECTUATE IN ANII PRECEDENTI</t>
  </si>
  <si>
    <t xml:space="preserve">TITLUL X ALTE CHELTUIELI </t>
  </si>
  <si>
    <t>TITLUL XII ACTIVE NEFINANCIARE</t>
  </si>
  <si>
    <t>TITLUL VIII Proiecte cu finantare din Fonduri externe nerambursabile postaderare</t>
  </si>
  <si>
    <t>Programe  Phare si alte programe cu finantare nerambursabila</t>
  </si>
  <si>
    <t>Programe Phare si alte programe cu finantare nerambursabila</t>
  </si>
  <si>
    <t>56.01</t>
  </si>
  <si>
    <t>55.01.09</t>
  </si>
  <si>
    <t>42.02.41</t>
  </si>
  <si>
    <t xml:space="preserve">Fondul Social European </t>
  </si>
  <si>
    <t>37.02.04</t>
  </si>
  <si>
    <t>55.01.42</t>
  </si>
  <si>
    <t>42.02.20</t>
  </si>
  <si>
    <t>42.02.45</t>
  </si>
  <si>
    <t>42.02.18</t>
  </si>
  <si>
    <t>36.02.06</t>
  </si>
  <si>
    <t>36.02.07</t>
  </si>
  <si>
    <t>37.02.03</t>
  </si>
  <si>
    <t>39.02.10</t>
  </si>
  <si>
    <t>Taxe speciale</t>
  </si>
  <si>
    <t>Varsaminte din amortizarea mijloacelor fixe</t>
  </si>
  <si>
    <t>Depozite speciale pentru construcţia de locuinţe</t>
  </si>
  <si>
    <t>Subventii din venituri proprii ale Ministerului Sanatatii catre bugetele locale pentru finantarea investitiilor in sanatate</t>
  </si>
  <si>
    <t>Subventii de la bugetul de stat catre bugetele locale necesare sustinerii derularii proiectelor finantate din FEN postaderare</t>
  </si>
  <si>
    <t xml:space="preserve">Subventii din bugetul de stat pt finantarea sanatatii </t>
  </si>
  <si>
    <t xml:space="preserve">Sume primite de administratiile locale in cadrul programelor finantate din Fondul Social European </t>
  </si>
  <si>
    <t>Fondul European Agricol de Dezvoltare Rurala</t>
  </si>
  <si>
    <t>Instrumentul European de Vecinatate si Parteneriat</t>
  </si>
  <si>
    <t>Programe ISPA</t>
  </si>
  <si>
    <t>Transf.din bug local catre asociatiile de dezvoltare intercomunitara</t>
  </si>
  <si>
    <t xml:space="preserve">Transferuri interne </t>
  </si>
  <si>
    <t xml:space="preserve">Despagubiri civile </t>
  </si>
  <si>
    <t>Politie locala</t>
  </si>
  <si>
    <t>Servicii de sanatate publica</t>
  </si>
  <si>
    <t>66.02.08</t>
  </si>
  <si>
    <t xml:space="preserve">Alte transferuri </t>
  </si>
  <si>
    <t xml:space="preserve">Programe din Fondul Social  European </t>
  </si>
  <si>
    <t>Programe Instrumentul European de Vecinatate si Parteneriat</t>
  </si>
  <si>
    <t>56.08</t>
  </si>
  <si>
    <t xml:space="preserve">Programe din Fondul European Agricol de Dezvoltare Rurala (FEADR) </t>
  </si>
  <si>
    <t>56.04</t>
  </si>
  <si>
    <t>Protectia plantelor şi carantina fitosanitara</t>
  </si>
  <si>
    <t>83.02.03.03</t>
  </si>
  <si>
    <t>Transferuri din bugetele consiliilor locale şi judeţene pentru acordarea unor ajutoare către unităţile administrativ-teritoriale în situaţii de extremă dificultate</t>
  </si>
  <si>
    <t xml:space="preserve">Programe cu finantare rambursabila </t>
  </si>
  <si>
    <t>Fond de rezerva bugetara la dispozitia autoritatilor locale</t>
  </si>
  <si>
    <t>54.02.05</t>
  </si>
  <si>
    <t>Fond pentru garantarea împrumuturilor externe, contractate/garantate de stat</t>
  </si>
  <si>
    <t>54.02.06</t>
  </si>
  <si>
    <t>Fond pentru garantarea împrumuturilor externe, contractate/garantate de administraţiile publice locale</t>
  </si>
  <si>
    <t>54.02.07</t>
  </si>
  <si>
    <t xml:space="preserve">Alte servicii publice generale </t>
  </si>
  <si>
    <t>54.02.50</t>
  </si>
  <si>
    <t>TITLUL II  BUNURI SI SERVICII (rd.249)</t>
  </si>
  <si>
    <t>Dobanzi aferente datoriei publice externe</t>
  </si>
  <si>
    <t xml:space="preserve">Alte dobanzi </t>
  </si>
  <si>
    <t>Transferuri din bugetele consiliilor judeţene pentru finanţarea centrelor de zi pentru protecţia copilului</t>
  </si>
  <si>
    <t>Transferuri din bugetele locale pentru instituţiile de asistenţă socială pentru persoanele cu handicap</t>
  </si>
  <si>
    <t>Transferuri din bugetele consiliilor judeţene pentru finanţarea centrelor pentru protecţia copilului</t>
  </si>
  <si>
    <t>56.02.06</t>
  </si>
  <si>
    <t>Transferuri din bugetele locale pentru institutiile de asistenta sociala pentru persoanele cu handicap</t>
  </si>
  <si>
    <t>56.02.07</t>
  </si>
  <si>
    <t>60.02</t>
  </si>
  <si>
    <t>Aparare nationala</t>
  </si>
  <si>
    <t>60.02.02</t>
  </si>
  <si>
    <t xml:space="preserve">Ordine publica </t>
  </si>
  <si>
    <t>61.02.03</t>
  </si>
  <si>
    <t>61.02.03.04</t>
  </si>
  <si>
    <t>Alte cheltuieli în domeniul ordinii publice şi siguranţei naţionale</t>
  </si>
  <si>
    <t>61.02.50</t>
  </si>
  <si>
    <t>TITLUL VI TRANSFERURI INTRE UNITATI ALE ADMINISTRATIEI PUBLICE (rd.310)</t>
  </si>
  <si>
    <t xml:space="preserve">Învatamânt secundar inferior   </t>
  </si>
  <si>
    <t>65.02.04.01</t>
  </si>
  <si>
    <t>Invatamant profesional</t>
  </si>
  <si>
    <t>65.02.04.03</t>
  </si>
  <si>
    <t>Învatamânt postliceal</t>
  </si>
  <si>
    <t>65.02.05</t>
  </si>
  <si>
    <t xml:space="preserve">Învatamânt  nedefinibil prin nivel </t>
  </si>
  <si>
    <t>65.02.07</t>
  </si>
  <si>
    <t>Învatamânt special</t>
  </si>
  <si>
    <t>65.02.07.04</t>
  </si>
  <si>
    <t xml:space="preserve">Servicii auxiliare pentru educatie </t>
  </si>
  <si>
    <t>65.02.11</t>
  </si>
  <si>
    <t xml:space="preserve">Internate si cantine pentru elevi </t>
  </si>
  <si>
    <t>65.02.11.03</t>
  </si>
  <si>
    <t>Alte servicii auxiliare</t>
  </si>
  <si>
    <t>65.02.11.30</t>
  </si>
  <si>
    <t>Alte cheltuieli în domeniul învatamântului</t>
  </si>
  <si>
    <t>65.02.50</t>
  </si>
  <si>
    <t xml:space="preserve">Contribuţii la salarizarea personalului neclerical </t>
  </si>
  <si>
    <t>Biblioteci publice comunale, orasenesti, municipale</t>
  </si>
  <si>
    <t>67.02.03.02</t>
  </si>
  <si>
    <t>Muzee</t>
  </si>
  <si>
    <t>67.02.03.03</t>
  </si>
  <si>
    <t>Scoli populare de arta si meserii</t>
  </si>
  <si>
    <t>67.02.03.05</t>
  </si>
  <si>
    <t>Case de cultura</t>
  </si>
  <si>
    <t>67.02.03.06</t>
  </si>
  <si>
    <t>Centre pentru  conservarea si promovarea culturii traditionale</t>
  </si>
  <si>
    <t>67.02.03.08</t>
  </si>
  <si>
    <t>Consolidarea si restaurarea monumentelor istorice</t>
  </si>
  <si>
    <t>67.02.03.12</t>
  </si>
  <si>
    <t>Alte servicii culturale</t>
  </si>
  <si>
    <t>67.02.03.30</t>
  </si>
  <si>
    <t>Servicii religioase</t>
  </si>
  <si>
    <t>67.02.06</t>
  </si>
  <si>
    <t xml:space="preserve">Programe cu finanţare rambursabilă </t>
  </si>
  <si>
    <t>Ajutoare pentru locuinte</t>
  </si>
  <si>
    <t>68.02.10</t>
  </si>
  <si>
    <t>Participare la capitalul social al societatilor comerciale</t>
  </si>
  <si>
    <t>Alte cheltuieli in domeniul locuintelor</t>
  </si>
  <si>
    <t>70.02.03.30</t>
  </si>
  <si>
    <t xml:space="preserve">Amenajari hidrotehnice </t>
  </si>
  <si>
    <t>70.02.05.02</t>
  </si>
  <si>
    <t>Alimentare cu gaze naturale in localitati</t>
  </si>
  <si>
    <t>70.02.07</t>
  </si>
  <si>
    <t>TITLUL VI TRANSFERURI INTRE UNITATI ALE ADMINISTRATIEI PUBLICE (rd.504)</t>
  </si>
  <si>
    <t>Programe PHARE si alte programe cu finantare nerambursabila</t>
  </si>
  <si>
    <t>Colectarea, tratarea si distrugerea deseurilor</t>
  </si>
  <si>
    <t>74.02.05.02</t>
  </si>
  <si>
    <t>Programe de dezvoltare</t>
  </si>
  <si>
    <t>CHELTUIELI DE CAPITAL (rd.542)</t>
  </si>
  <si>
    <t>Stimulare întreprinderi mici si mijlocii</t>
  </si>
  <si>
    <t>80.02.01.09</t>
  </si>
  <si>
    <t>Programe de dezvoltare regionala  si sociala</t>
  </si>
  <si>
    <t>80.02.01.10</t>
  </si>
  <si>
    <t xml:space="preserve">A. Transferuri interne </t>
  </si>
  <si>
    <t>Alte active fixe</t>
  </si>
  <si>
    <t>Alti combustibili</t>
  </si>
  <si>
    <t>81.02.07</t>
  </si>
  <si>
    <t>Alte cheltuieli privind combustibili si energia</t>
  </si>
  <si>
    <t>81.02.50</t>
  </si>
  <si>
    <t>Drumuri si poduri</t>
  </si>
  <si>
    <t>84.02.03.01</t>
  </si>
  <si>
    <t>Transport aerian (rd.638)</t>
  </si>
  <si>
    <t>84.02.06</t>
  </si>
  <si>
    <t>Aviatia civila</t>
  </si>
  <si>
    <t>84.02.06.02</t>
  </si>
  <si>
    <t xml:space="preserve">Alte actiuni economice </t>
  </si>
  <si>
    <t>87.02</t>
  </si>
  <si>
    <t>Fond Roman de  Dezvoltare Sociala</t>
  </si>
  <si>
    <t>Ajutoare pentru daune provocate de calamităţile naturale</t>
  </si>
  <si>
    <t>Împrumuturi pentru institutii si servicii publice sau activitati finantate integral din venituri proprii</t>
  </si>
  <si>
    <t>Alte imprumuturi</t>
  </si>
  <si>
    <t xml:space="preserve">Fondul Român de Dezvoltare Sociala </t>
  </si>
  <si>
    <t>87.02.01</t>
  </si>
  <si>
    <t>Zone libere</t>
  </si>
  <si>
    <t>87.02.03</t>
  </si>
  <si>
    <t>Turism</t>
  </si>
  <si>
    <t>87.02.04</t>
  </si>
  <si>
    <t>Proiecte de dezvoltare multifunctionale</t>
  </si>
  <si>
    <t>87.02.05</t>
  </si>
  <si>
    <t>Alte actiuni economice</t>
  </si>
  <si>
    <t>87.02.50</t>
  </si>
  <si>
    <t>96.02</t>
  </si>
  <si>
    <t>97.02</t>
  </si>
  <si>
    <t>99.02</t>
  </si>
  <si>
    <t xml:space="preserve">CHELTUIELI DE CAPITAL </t>
  </si>
  <si>
    <t>00.01</t>
  </si>
  <si>
    <t>48.02</t>
  </si>
  <si>
    <t>00.02</t>
  </si>
  <si>
    <t>00.03</t>
  </si>
  <si>
    <t>00.04</t>
  </si>
  <si>
    <t>00.05</t>
  </si>
  <si>
    <t>01.02</t>
  </si>
  <si>
    <t xml:space="preserve">Impozit pe profit de la agenţi economici </t>
  </si>
  <si>
    <t>01.02.01</t>
  </si>
  <si>
    <t>00.06</t>
  </si>
  <si>
    <t>04.02</t>
  </si>
  <si>
    <t>Cote defalcate din impozitul pe venit</t>
  </si>
  <si>
    <t>00.07</t>
  </si>
  <si>
    <t>05.02</t>
  </si>
  <si>
    <t xml:space="preserve"> Alte impozite pe venit, profit si castiguri din capital </t>
  </si>
  <si>
    <t>05.02.50</t>
  </si>
  <si>
    <t>00.09</t>
  </si>
  <si>
    <t>07.02</t>
  </si>
  <si>
    <t>07.02.50</t>
  </si>
  <si>
    <t>00.10</t>
  </si>
  <si>
    <t>11.02</t>
  </si>
  <si>
    <t>11.02.02</t>
  </si>
  <si>
    <t>11.02.03</t>
  </si>
  <si>
    <t>11.02.06</t>
  </si>
  <si>
    <t>12.02</t>
  </si>
  <si>
    <t>Taxe hoteliere</t>
  </si>
  <si>
    <t>12.02.07</t>
  </si>
  <si>
    <t>15.02</t>
  </si>
  <si>
    <t>15.02.01</t>
  </si>
  <si>
    <t>16.02</t>
  </si>
  <si>
    <t>Taxe si tarife pentru eliberarea de licente si autorizatii de functionare</t>
  </si>
  <si>
    <t>00.11</t>
  </si>
  <si>
    <t>18.02</t>
  </si>
  <si>
    <t>Alte impozite si taxe</t>
  </si>
  <si>
    <t>18.02.50</t>
  </si>
  <si>
    <t>00.12</t>
  </si>
  <si>
    <t>00.13</t>
  </si>
  <si>
    <t>30.02</t>
  </si>
  <si>
    <t>30.02.01</t>
  </si>
  <si>
    <t>Restituiri de fonduri din finantarea bugetara a anilor precedenti</t>
  </si>
  <si>
    <t>30.02.03</t>
  </si>
  <si>
    <t>Venituri din concesiuni si inchirieri</t>
  </si>
  <si>
    <t>30.02.05</t>
  </si>
  <si>
    <t xml:space="preserve">Venituri din dividende </t>
  </si>
  <si>
    <t>30.02.08</t>
  </si>
  <si>
    <t>00.14</t>
  </si>
  <si>
    <t>33.02</t>
  </si>
  <si>
    <t>33.02.08</t>
  </si>
  <si>
    <t>Contributia  parintilor sau sustinatorilor legali pentru intretinerea copiilor in crese</t>
  </si>
  <si>
    <t>33.02.10</t>
  </si>
  <si>
    <t>Contributia  persoanelor beneficiare ale  cantinelor de ajutor social</t>
  </si>
  <si>
    <t>33.02.12</t>
  </si>
  <si>
    <t>Contribuţia lunară a părinţilor pentru întreţinerea copiilor în unităţile de protecţie socială</t>
  </si>
  <si>
    <t>33.02.27</t>
  </si>
  <si>
    <t>Venituri din recuperarea cheltuielilor de judecata, imputatii si despagubiri</t>
  </si>
  <si>
    <t>33.02.28</t>
  </si>
  <si>
    <t>34.02</t>
  </si>
  <si>
    <t>Taxe extrajudiciare de timbru</t>
  </si>
  <si>
    <t>34.02.02</t>
  </si>
  <si>
    <t>35.02</t>
  </si>
  <si>
    <t>35.02.01</t>
  </si>
  <si>
    <t>35.02.02</t>
  </si>
  <si>
    <t>36.02</t>
  </si>
  <si>
    <t>36.02.05</t>
  </si>
  <si>
    <t>36.02.50</t>
  </si>
  <si>
    <t>37.02</t>
  </si>
  <si>
    <t>37.02.01</t>
  </si>
  <si>
    <t>00.15</t>
  </si>
  <si>
    <t>39.02</t>
  </si>
  <si>
    <t>39.02.03</t>
  </si>
  <si>
    <t>Venituri din privatizare</t>
  </si>
  <si>
    <t>39.02.04</t>
  </si>
  <si>
    <t>39.02.07</t>
  </si>
  <si>
    <t>40.02</t>
  </si>
  <si>
    <t>40.02.06</t>
  </si>
  <si>
    <t>00.17</t>
  </si>
  <si>
    <t>00.18</t>
  </si>
  <si>
    <t>42.02</t>
  </si>
  <si>
    <t>42.02.06</t>
  </si>
  <si>
    <t>42.02.29</t>
  </si>
  <si>
    <t>43.02</t>
  </si>
  <si>
    <t xml:space="preserve">Subvenţii de la bugetul asigurărilor pentru şomaj catre bugetele locale, pentru finanţarea programelor pentru ocuparea temporară a fortei de munca  </t>
  </si>
  <si>
    <t>43.02.04</t>
  </si>
  <si>
    <t>50.02</t>
  </si>
  <si>
    <t>51.02</t>
  </si>
  <si>
    <t>TITLUL I  CHELTUIELI DE PERSONAL</t>
  </si>
  <si>
    <t>TITLUL II  BUNURI SI SERVICII</t>
  </si>
  <si>
    <t>54.02</t>
  </si>
  <si>
    <t>Servicii publice comunitare de evidenţă a persoanelor</t>
  </si>
  <si>
    <t>54.02.10</t>
  </si>
  <si>
    <t>55.02</t>
  </si>
  <si>
    <t>61.02</t>
  </si>
  <si>
    <t>61.02.05</t>
  </si>
  <si>
    <t>65.02</t>
  </si>
  <si>
    <t>65.02.03.01</t>
  </si>
  <si>
    <t>65.02.03.02</t>
  </si>
  <si>
    <t>66.02</t>
  </si>
  <si>
    <t>67.02</t>
  </si>
  <si>
    <t>Camine culturale</t>
  </si>
  <si>
    <t>67.02.03.07</t>
  </si>
  <si>
    <t>Sport</t>
  </si>
  <si>
    <t>67.02.05.01</t>
  </si>
  <si>
    <t>Tineret</t>
  </si>
  <si>
    <t>67.02.05.02</t>
  </si>
  <si>
    <t>67.02.50</t>
  </si>
  <si>
    <t>68.02</t>
  </si>
  <si>
    <t>Asistenta acordata persoanelor in varsta</t>
  </si>
  <si>
    <t>68.02.04</t>
  </si>
  <si>
    <t>68.02.11</t>
  </si>
  <si>
    <t>68.02.15.01</t>
  </si>
  <si>
    <t>Cantine de ajutor social</t>
  </si>
  <si>
    <t>68.02.15.02</t>
  </si>
  <si>
    <t>Alte cheltuieli in domeniul asigurarilor si asistentei  sociale</t>
  </si>
  <si>
    <t>68.02.50</t>
  </si>
  <si>
    <t>70.02</t>
  </si>
  <si>
    <t xml:space="preserve">TITLUL VI TRANSFERURI INTRE UNITATI ALE ADMINISTRATIEI PUBLICE </t>
  </si>
  <si>
    <t>51</t>
  </si>
  <si>
    <t>74.02</t>
  </si>
  <si>
    <t>74.02.05</t>
  </si>
  <si>
    <t>Canalizarea si tratarea apelor reziduale</t>
  </si>
  <si>
    <t>74.02.06</t>
  </si>
  <si>
    <t>80.02</t>
  </si>
  <si>
    <t>Prevenire si combatere inundatii si gheturi</t>
  </si>
  <si>
    <t>80.02.01.06</t>
  </si>
  <si>
    <t>Alte cheltuieli pentru actiuni generale economice si comerciale</t>
  </si>
  <si>
    <t>80.02.01.30</t>
  </si>
  <si>
    <t>81.02</t>
  </si>
  <si>
    <t>83.02</t>
  </si>
  <si>
    <t>84.02</t>
  </si>
  <si>
    <t>Transport în comun</t>
  </si>
  <si>
    <t>84.02.03.02</t>
  </si>
  <si>
    <t xml:space="preserve">Strazi </t>
  </si>
  <si>
    <t>84.02.03.03</t>
  </si>
  <si>
    <t>Alte cheltuieli în domeniul transporturilor</t>
  </si>
  <si>
    <t>84.02.50</t>
  </si>
  <si>
    <t xml:space="preserve">TITLUL IV SUBVENTII </t>
  </si>
  <si>
    <t>TITLUL VII ALTE TRANSFERURI</t>
  </si>
  <si>
    <t xml:space="preserve">TITLUL IX ALTE CHELTUIELI </t>
  </si>
  <si>
    <t>OPERATIUNI FINANCIARE</t>
  </si>
  <si>
    <t xml:space="preserve">TITLUL III DOBANZI </t>
  </si>
  <si>
    <t>65.02.04</t>
  </si>
  <si>
    <t>66.02.06</t>
  </si>
  <si>
    <t>66.02.50</t>
  </si>
  <si>
    <t>59.11</t>
  </si>
  <si>
    <t>59.12</t>
  </si>
  <si>
    <t>67.02.03.04</t>
  </si>
  <si>
    <t>55.01.12</t>
  </si>
  <si>
    <t xml:space="preserve">TITLUL VII ALTE TRANSFERURI </t>
  </si>
  <si>
    <t xml:space="preserve">Alte transferuri curente interne </t>
  </si>
  <si>
    <t>55.01.18</t>
  </si>
  <si>
    <t>40.03</t>
  </si>
  <si>
    <t>81.02.06</t>
  </si>
  <si>
    <t>83.02.03.30</t>
  </si>
  <si>
    <t xml:space="preserve">Rambursari de credite interne </t>
  </si>
  <si>
    <t>68.02.05.02</t>
  </si>
  <si>
    <t>51.02.01.03</t>
  </si>
  <si>
    <t>Dezvoltarea sistemului de locuinte</t>
  </si>
  <si>
    <t>Alimentare cu apa</t>
  </si>
  <si>
    <t>56.02.09</t>
  </si>
  <si>
    <t>Alte venituri</t>
  </si>
  <si>
    <t xml:space="preserve">Diverse venituri </t>
  </si>
  <si>
    <t>Rezerve</t>
  </si>
  <si>
    <t>Alte transferuri voluntare</t>
  </si>
  <si>
    <t xml:space="preserve">TOTAL VENITURI </t>
  </si>
  <si>
    <t xml:space="preserve">VENITURI PROPRII </t>
  </si>
  <si>
    <t xml:space="preserve">I.  VENITURI CURENTE </t>
  </si>
  <si>
    <t>A.  VENITURI FISCALE</t>
  </si>
  <si>
    <t xml:space="preserve">A1.  IMPOZIT  PE VENIT, PROFIT SI CASTIGURI DIN CAPITAL </t>
  </si>
  <si>
    <t xml:space="preserve">A1.1.  IMPOZIT  PE VENIT, PROFIT SI CASTIGURI DIN CAPITAL DE LA PERSOANE JURIDICE </t>
  </si>
  <si>
    <t xml:space="preserve">Impozit pe profit </t>
  </si>
  <si>
    <t>Impozit pe venit</t>
  </si>
  <si>
    <t>03.02</t>
  </si>
  <si>
    <t>03.02.18</t>
  </si>
  <si>
    <t xml:space="preserve">A1.2.  IMPOZIT PE VENIT, PROFIT,  SI CASTIGURI DIN CAPITAL DE LA PERSOANE FIZICE </t>
  </si>
  <si>
    <t xml:space="preserve">Cote si sume defalcate din impozitul pe venit </t>
  </si>
  <si>
    <t>11.02.09</t>
  </si>
  <si>
    <t>Fondul de Coeziune</t>
  </si>
  <si>
    <t>43.02.30</t>
  </si>
  <si>
    <t>43.02.34</t>
  </si>
  <si>
    <t>51.02.29</t>
  </si>
  <si>
    <t>48.02.01</t>
  </si>
  <si>
    <t xml:space="preserve">TITLUL XIII  ACTIVE NEFINANCIARE </t>
  </si>
  <si>
    <t>TITLUL XI ALTE CHELTUIELI</t>
  </si>
  <si>
    <t xml:space="preserve">TITLUL XI ALTE CHELTUIELI </t>
  </si>
  <si>
    <t>TITLUL XVII RAMBURSARI DE CREDITE</t>
  </si>
  <si>
    <t>TITLUL XIX PLATI EFECTUATE IN ANII PRECEDENTI</t>
  </si>
  <si>
    <t>55.01.65</t>
  </si>
  <si>
    <t>Subventii de la bug de stat catre bug lecale necesare sustinerii derularii proiectelor din fonduri externe neramb. (FEN)postaderare aferente perioadei de programare 2014- 2020</t>
  </si>
  <si>
    <t>42.02.69</t>
  </si>
  <si>
    <t>48.02.02</t>
  </si>
  <si>
    <t>36.02.23</t>
  </si>
  <si>
    <t xml:space="preserve">JUDEŢUL:MARAMURES </t>
  </si>
  <si>
    <t>Anexa nr. 1</t>
  </si>
  <si>
    <r>
      <t xml:space="preserve">Unitatea administrativ-teritorială: </t>
    </r>
    <r>
      <rPr>
        <b/>
        <sz val="12"/>
        <rFont val="Arial"/>
        <family val="2"/>
      </rPr>
      <t>MUNICIPIUL BAIA MARE</t>
    </r>
  </si>
  <si>
    <t>Formular: 11</t>
  </si>
  <si>
    <t xml:space="preserve"> BUGETUL GENERAL AL UNITĂŢII ADMINISTRATIV-TERITORIALE</t>
  </si>
  <si>
    <t xml:space="preserve">  - mii lei -</t>
  </si>
  <si>
    <t>Cod                  rând</t>
  </si>
  <si>
    <t xml:space="preserve">Bugetul             local </t>
  </si>
  <si>
    <t>Bugetul instituţiilor publice finanţate din venituri proprii si subventii din bugetul local</t>
  </si>
  <si>
    <t>Bugetul instituţiilor publice finanţate integral din venituri proprii</t>
  </si>
  <si>
    <t>Bugetul fondurilor externe nerambursabile</t>
  </si>
  <si>
    <t xml:space="preserve">TOTAL </t>
  </si>
  <si>
    <t>Transferuri între bugete**)    (se scad)</t>
  </si>
  <si>
    <t>Total                     buget          general</t>
  </si>
  <si>
    <t>Bugetul împrumuturilor</t>
  </si>
  <si>
    <t>intre</t>
  </si>
  <si>
    <t>bugete</t>
  </si>
  <si>
    <t>(se scad)</t>
  </si>
  <si>
    <t>externe</t>
  </si>
  <si>
    <t>interne</t>
  </si>
  <si>
    <t>A</t>
  </si>
  <si>
    <t>0</t>
  </si>
  <si>
    <t>7=1+2+3+4+5+6</t>
  </si>
  <si>
    <t>9=7-8</t>
  </si>
  <si>
    <t xml:space="preserve">VENITURI  TOTAL  (rd.02+18+19+20+23)                 </t>
  </si>
  <si>
    <t xml:space="preserve">Venituri curente   (rd.03+17)                       </t>
  </si>
  <si>
    <t>02</t>
  </si>
  <si>
    <t xml:space="preserve">Venituri fiscale  (rd.04+06+09+10+11+16)                        </t>
  </si>
  <si>
    <t>03</t>
  </si>
  <si>
    <t>Impozit pe venit, profit si castiguri din capital de la persoane juridice,   din care:</t>
  </si>
  <si>
    <t>04</t>
  </si>
  <si>
    <t xml:space="preserve">Impozit pe profit                  </t>
  </si>
  <si>
    <t>05</t>
  </si>
  <si>
    <t>Impozit pe venit, profit si castiguri din capital de la persoane fizice (rd.07+ rd.08) ,   din care:</t>
  </si>
  <si>
    <t>06</t>
  </si>
  <si>
    <t>Impozitul pe veniturile din transferul proprietatilor imobiliare din patrimoniul personal *)</t>
  </si>
  <si>
    <t>07</t>
  </si>
  <si>
    <t>08</t>
  </si>
  <si>
    <t>Alte impozite pe venit, profit si castiguri din capital</t>
  </si>
  <si>
    <t>09</t>
  </si>
  <si>
    <t>Impozite şi taxe  pe proprietate</t>
  </si>
  <si>
    <t>10</t>
  </si>
  <si>
    <t xml:space="preserve">Impozite si taxe pe bunuri si servicii   (rd.12 la rd.15)               </t>
  </si>
  <si>
    <t>11</t>
  </si>
  <si>
    <t>Sume defalcate din TVA</t>
  </si>
  <si>
    <t>12</t>
  </si>
  <si>
    <t>Alte impozite si taxe generale pe bunuri  si servicii</t>
  </si>
  <si>
    <t>13</t>
  </si>
  <si>
    <t>Taxe pe servicii specifice</t>
  </si>
  <si>
    <t>14</t>
  </si>
  <si>
    <t>Taxe pe utilizarea bunurilor, autorizarea utilizarii bunurilor sau pe desfasurarea de activitati</t>
  </si>
  <si>
    <t>15</t>
  </si>
  <si>
    <t>Alte impozite si taxe fiscale</t>
  </si>
  <si>
    <t>16</t>
  </si>
  <si>
    <t xml:space="preserve">Venituri nefiscale                      </t>
  </si>
  <si>
    <t>17</t>
  </si>
  <si>
    <t xml:space="preserve">Venituri din capital                      </t>
  </si>
  <si>
    <t>18</t>
  </si>
  <si>
    <t>Operatiuni financiare</t>
  </si>
  <si>
    <t>19</t>
  </si>
  <si>
    <t>Subvenţii (rd.21+22)</t>
  </si>
  <si>
    <t>20</t>
  </si>
  <si>
    <t>Subvenţii de la bugetul de stat</t>
  </si>
  <si>
    <t>21</t>
  </si>
  <si>
    <t>Subvenţii de la alte administratii</t>
  </si>
  <si>
    <t>22</t>
  </si>
  <si>
    <t>Sume primite de la UE  în contul platilor efectuate</t>
  </si>
  <si>
    <t>23</t>
  </si>
  <si>
    <t xml:space="preserve">CHELTUIELI - TOTAL  (rd.24+35+36+39+40)           </t>
  </si>
  <si>
    <t xml:space="preserve">Cheltuieli curente   (rd.25 la rd.34)                        </t>
  </si>
  <si>
    <t xml:space="preserve">Cheltuieli de personal                </t>
  </si>
  <si>
    <t xml:space="preserve">Bunuri si servicii                </t>
  </si>
  <si>
    <t>Dobanzi</t>
  </si>
  <si>
    <t xml:space="preserve">Subventii                                  </t>
  </si>
  <si>
    <t>Fonduri de rezerva</t>
  </si>
  <si>
    <t xml:space="preserve">Transferuri intre unitati ale administratiei publice                             </t>
  </si>
  <si>
    <t>Alte transferuri</t>
  </si>
  <si>
    <t>Proiecte cu finantare din Fonduri externe nerambursabile postaderare</t>
  </si>
  <si>
    <t>Asistenta sociala</t>
  </si>
  <si>
    <t>Alte cheltuieli</t>
  </si>
  <si>
    <t xml:space="preserve">Cheltuieli de capital                     </t>
  </si>
  <si>
    <t>Operatiuni financiare (rd.37+38)</t>
  </si>
  <si>
    <t xml:space="preserve">Imprumuturi acordate                  </t>
  </si>
  <si>
    <t>Rambursari de credite externe si interne</t>
  </si>
  <si>
    <t>Plăţi efectuate în anii precedenţi şi recuperate în anul curent</t>
  </si>
  <si>
    <r>
      <t xml:space="preserve">EXCEDENT(+)/DEFICIT(-)  </t>
    </r>
    <r>
      <rPr>
        <vertAlign val="superscript"/>
        <sz val="12"/>
        <rFont val="Arial"/>
        <family val="2"/>
      </rPr>
      <t>1)</t>
    </r>
    <r>
      <rPr>
        <sz val="12"/>
        <rFont val="Arial"/>
        <family val="2"/>
      </rPr>
      <t xml:space="preserve">                                                                (rd.01-rd.23)   </t>
    </r>
  </si>
  <si>
    <t>PE CAPITOLE:</t>
  </si>
  <si>
    <t>42</t>
  </si>
  <si>
    <t>43</t>
  </si>
  <si>
    <t>Sectiunea de functionare</t>
  </si>
  <si>
    <t>44</t>
  </si>
  <si>
    <t>Sectiunea de dezvoltare</t>
  </si>
  <si>
    <t>45</t>
  </si>
  <si>
    <t>46</t>
  </si>
  <si>
    <t>47</t>
  </si>
  <si>
    <t>48</t>
  </si>
  <si>
    <t>49</t>
  </si>
  <si>
    <t>50</t>
  </si>
  <si>
    <t xml:space="preserve">Transferuri cu caracter general intre diferite nivele ale administratiei       </t>
  </si>
  <si>
    <t>52</t>
  </si>
  <si>
    <t>53</t>
  </si>
  <si>
    <t>54</t>
  </si>
  <si>
    <t xml:space="preserve">Aparare    </t>
  </si>
  <si>
    <t>56</t>
  </si>
  <si>
    <t>57</t>
  </si>
  <si>
    <t>58</t>
  </si>
  <si>
    <t>59</t>
  </si>
  <si>
    <t>60</t>
  </si>
  <si>
    <t xml:space="preserve">Invatamant  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</si>
  <si>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</si>
  <si>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</si>
  <si>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</si>
  <si>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</si>
  <si>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</si>
  <si>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</si>
  <si>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</si>
  <si>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</si>
  <si>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</si>
  <si>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 xml:space="preserve">Asigurari si asistenta sociala      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</si>
  <si>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</si>
  <si>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</si>
  <si>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</si>
  <si>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</si>
  <si>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</si>
  <si>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</si>
  <si>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</si>
  <si>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</si>
  <si>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</si>
  <si>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</si>
  <si>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</si>
  <si>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</si>
  <si>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 xml:space="preserve">Combustibili si energie </t>
  </si>
  <si>
    <t>82</t>
  </si>
  <si>
    <t>83</t>
  </si>
  <si>
    <t>84</t>
  </si>
  <si>
    <t xml:space="preserve">Agricultura, silvicultura, piscicultura si vanatoare  </t>
  </si>
  <si>
    <t>85</t>
  </si>
  <si>
    <t>86</t>
  </si>
  <si>
    <t>87</t>
  </si>
  <si>
    <t xml:space="preserve">Transporturi </t>
  </si>
  <si>
    <t>88</t>
  </si>
  <si>
    <t>89</t>
  </si>
  <si>
    <t>90</t>
  </si>
  <si>
    <t>91</t>
  </si>
  <si>
    <t>92</t>
  </si>
  <si>
    <t>93</t>
  </si>
  <si>
    <r>
      <t xml:space="preserve">               </t>
    </r>
    <r>
      <rPr>
        <vertAlign val="superscript"/>
        <sz val="10"/>
        <rFont val="Arial"/>
        <family val="2"/>
      </rPr>
      <t>1)</t>
    </r>
    <r>
      <rPr>
        <sz val="10"/>
        <rFont val="Arial"/>
        <family val="2"/>
      </rPr>
      <t xml:space="preserve"> deficit finantat din excedentul anilor precedenti</t>
    </r>
  </si>
  <si>
    <t xml:space="preserve">               *) Numai restanţe din anii precedenţi</t>
  </si>
  <si>
    <t>**) Se înscriu transferurile de sume dintre bugetele care compun bugetul general centralizat</t>
  </si>
  <si>
    <t>ORDONATOR PRINCIPAL DE CREDITE</t>
  </si>
  <si>
    <t>…………………………………………..</t>
  </si>
  <si>
    <t>NOTA:</t>
  </si>
  <si>
    <t>59.40</t>
  </si>
  <si>
    <t>48.02.16</t>
  </si>
  <si>
    <t>DENUMIREA INDICATORILOR</t>
  </si>
  <si>
    <t xml:space="preserve">COD RAND </t>
  </si>
  <si>
    <t>04.02.01</t>
  </si>
  <si>
    <t>Sume alocate din cotele defalcate din impozitul pe venit pentru echilibrarea bugetelor locale</t>
  </si>
  <si>
    <t>04.02.04</t>
  </si>
  <si>
    <t>Impozit pe cladiri</t>
  </si>
  <si>
    <t>07.02.01</t>
  </si>
  <si>
    <t>07.02.01.01</t>
  </si>
  <si>
    <t>07.02.01.02</t>
  </si>
  <si>
    <t>07.02.02</t>
  </si>
  <si>
    <t>07.02.02.01</t>
  </si>
  <si>
    <t>07.02.02.02</t>
  </si>
  <si>
    <t xml:space="preserve">Impozitul pe terenul din extravilan   *) </t>
  </si>
  <si>
    <t>07.02.02.03</t>
  </si>
  <si>
    <t xml:space="preserve">Taxe judiciare de timbru, taxe de timbru pentru activitatea notariala si alte taxe de timbru  </t>
  </si>
  <si>
    <t>07.02.03</t>
  </si>
  <si>
    <t>Sume defalcate din taxa pe valoarea adăugată pentru finanţarea invatamantului particular</t>
  </si>
  <si>
    <t>Alte taxe pe servicii specifice</t>
  </si>
  <si>
    <t xml:space="preserve">Taxa asupra  mijloacelor de transport </t>
  </si>
  <si>
    <t>16.02.02</t>
  </si>
  <si>
    <t>Taxa asupra  mijloacelor de transport detinute de persoane fizice *)</t>
  </si>
  <si>
    <t>16.02.02.01</t>
  </si>
  <si>
    <t>Taxa asupra  mijloacelor de transport detinute de persoane juridice *)</t>
  </si>
  <si>
    <t>16.02.02.02</t>
  </si>
  <si>
    <t>16.02.03</t>
  </si>
  <si>
    <t>16.02.50</t>
  </si>
  <si>
    <t>Venituri din prestari de servicii</t>
  </si>
  <si>
    <t>35.05.50</t>
  </si>
  <si>
    <t>Taxe de reabilitare termica</t>
  </si>
  <si>
    <t>Varsaminte din sectiunea de functionare pentru finantarea sectiunii de dezvoltare a bugetului local (cu semnul minus)</t>
  </si>
  <si>
    <t>Varsaminte din sectiunea de functionare</t>
  </si>
  <si>
    <t xml:space="preserve">Sume din ex.BL pt. fin chelt SD </t>
  </si>
  <si>
    <t>40.02.14</t>
  </si>
  <si>
    <t>Sume alocate din bugetul de stat aferente corecţiilor financiare</t>
  </si>
  <si>
    <t>Subventii primite de  la  bugetele consiliilor judetene pentru protectia copilului</t>
  </si>
  <si>
    <t>43.02.01</t>
  </si>
  <si>
    <t>Sume primite de la bugetul judetului pt. plata drepturilor de care beneficiaza copii cu cerinte educationale speciale integrati in invatamantul de masa</t>
  </si>
  <si>
    <t>Sume alocate din bugetul ANCPI pentru finantarea lucrarilor de inregistrare sistematica din cadrul Programului national de cadastru si carte funciara</t>
  </si>
  <si>
    <t>Sume primite de la UE in contul platilor efectuate si prefinantari aferente cadrului financiar 2014-2020</t>
  </si>
  <si>
    <t>Fondul European de Dezvoltare Regionala</t>
  </si>
  <si>
    <t>45.02.03</t>
  </si>
  <si>
    <t>45.02.04</t>
  </si>
  <si>
    <t>Alte facilitati si instrumente postaderare</t>
  </si>
  <si>
    <t>45.02.17</t>
  </si>
  <si>
    <t>Sume primite de la UE in contul platilor efectuate aferente cadrului financiar 2014-2020</t>
  </si>
  <si>
    <t xml:space="preserve">MUNICIPIUL BAIA MARE </t>
  </si>
  <si>
    <t>FORMULAR 11/01</t>
  </si>
  <si>
    <t>Anexa nr.2</t>
  </si>
  <si>
    <t>mii lei</t>
  </si>
  <si>
    <t>Influente</t>
  </si>
  <si>
    <t xml:space="preserve"> </t>
  </si>
  <si>
    <t>Cheltuieli de personal</t>
  </si>
  <si>
    <t>Bunuri si servicii</t>
  </si>
  <si>
    <t>Subventii</t>
  </si>
  <si>
    <t>Fond de rezerva</t>
  </si>
  <si>
    <t>Alte transferuri de capital către instituţii publice</t>
  </si>
  <si>
    <t>Finantarea invatamantului particular sau confesional acreditat</t>
  </si>
  <si>
    <t>55.01.63</t>
  </si>
  <si>
    <t>Sume reprezentand contributia UAT la Fondul IID</t>
  </si>
  <si>
    <t>Ajutoare sociale</t>
  </si>
  <si>
    <t>Tichete de cresa si tichete sociale pt gradinita</t>
  </si>
  <si>
    <t>57.02.03</t>
  </si>
  <si>
    <t>TITLUL VIII Proiecte cu finantare din Fonduri externe nerambursabile 2014-2020</t>
  </si>
  <si>
    <t>Sume aferente persoanelor cu handicap neîncadrate</t>
  </si>
  <si>
    <t>Cheltuieli de capital</t>
  </si>
  <si>
    <t>Active nefinanciare</t>
  </si>
  <si>
    <t>Rambursarea imprumuturilor contractate pentru finantarea proiectelor cu finantare UE</t>
  </si>
  <si>
    <t>81.04</t>
  </si>
  <si>
    <t xml:space="preserve">Partea I-a SERVICII PUBLICE GENERALE </t>
  </si>
  <si>
    <t>TITLUL X Proiecte cu finantare din Fonduri externe nerambursabile aferente cadrului financiar 2014-2020</t>
  </si>
  <si>
    <t>Actiuni cu caracter stiintific si social cultural</t>
  </si>
  <si>
    <t>59.22</t>
  </si>
  <si>
    <t>Acţiuni  de sănătate</t>
  </si>
  <si>
    <t>Transferuri pentru finanţarea investiţiilor la spitale</t>
  </si>
  <si>
    <t>A. Transferuri interne.(rd.386)</t>
  </si>
  <si>
    <t>CHELTUIELI CURENTE )</t>
  </si>
  <si>
    <t>Despagubiri civile</t>
  </si>
  <si>
    <t xml:space="preserve">Asociatii  si fundatii </t>
  </si>
  <si>
    <t>Alte servicii in domeniul protectiei mediului</t>
  </si>
  <si>
    <t>74.02.50</t>
  </si>
  <si>
    <t>Alte cheltuieli pentru actiuni generale economice si comerciale-cadastru</t>
  </si>
  <si>
    <t xml:space="preserve">Rambursari de credite </t>
  </si>
  <si>
    <t>81.02.</t>
  </si>
  <si>
    <t>EXCEDENT / DEFICIT</t>
  </si>
  <si>
    <t>SECTIUNEA DE FUNCTIONARE</t>
  </si>
  <si>
    <t>Taxa de reabilitare termica</t>
  </si>
  <si>
    <t>Varsaminte din sectiunea de functionare pentru finantarea sectiunii de dezvoltare a bugetului local (cu semnul plus)</t>
  </si>
  <si>
    <t>48.02.03</t>
  </si>
  <si>
    <t>48.02.04</t>
  </si>
  <si>
    <t>48.02.08</t>
  </si>
  <si>
    <t>48.02.15</t>
  </si>
  <si>
    <t xml:space="preserve">Alte facilitati si instrumente  postaderare </t>
  </si>
  <si>
    <t>TOTAL CHELTUIELI SF</t>
  </si>
  <si>
    <r>
      <t>CHELTUIELI CURENTE</t>
    </r>
    <r>
      <rPr>
        <sz val="14"/>
        <rFont val="Arial"/>
        <family val="2"/>
      </rPr>
      <t xml:space="preserve"> </t>
    </r>
  </si>
  <si>
    <r>
      <t>CHELTUIELI DE CAPITAL</t>
    </r>
    <r>
      <rPr>
        <sz val="14"/>
        <rFont val="Arial"/>
        <family val="2"/>
      </rPr>
      <t xml:space="preserve"> (rd.197)</t>
    </r>
  </si>
  <si>
    <r>
      <t>CHELTUIELI CURENTE</t>
    </r>
    <r>
      <rPr>
        <b/>
        <sz val="14"/>
        <rFont val="Arial"/>
        <family val="2"/>
      </rPr>
      <t xml:space="preserve"> </t>
    </r>
  </si>
  <si>
    <r>
      <t xml:space="preserve"> </t>
    </r>
    <r>
      <rPr>
        <b/>
        <u/>
        <sz val="14"/>
        <rFont val="Arial"/>
        <family val="2"/>
      </rPr>
      <t>CHELTUIELI CURENTE</t>
    </r>
    <r>
      <rPr>
        <b/>
        <sz val="14"/>
        <rFont val="Arial"/>
        <family val="2"/>
      </rPr>
      <t xml:space="preserve"> </t>
    </r>
  </si>
  <si>
    <r>
      <t>CHELTUIELI DE CAPITAL</t>
    </r>
    <r>
      <rPr>
        <b/>
        <sz val="14"/>
        <rFont val="Arial"/>
        <family val="2"/>
      </rPr>
      <t xml:space="preserve"> </t>
    </r>
  </si>
  <si>
    <t>TITLUL XII  ACTIVE NEFINANCIARE</t>
  </si>
  <si>
    <t>TITLUL XVI Rambursari de credite</t>
  </si>
  <si>
    <t>81.04.</t>
  </si>
  <si>
    <t>Transferuri către instituţii publice spau</t>
  </si>
  <si>
    <t>Sume reprezentand contributia UAT la Fondul IID-Vital</t>
  </si>
  <si>
    <t>TITLUL XIII RAMBURSARI DE CREDITE</t>
  </si>
  <si>
    <t xml:space="preserve">TITLUL X  ACTIVE NEFINANCIARE </t>
  </si>
  <si>
    <t>SECTIUNEA DE DEZVOLTARE</t>
  </si>
  <si>
    <t>49.90</t>
  </si>
  <si>
    <t>Sume defalcate din taxa pe valoarea adăugată pentru finanţarea Programului de dezvoltare a infrastructurii din spaţiul rural</t>
  </si>
  <si>
    <t>11.02.07</t>
  </si>
  <si>
    <t>48.02.17</t>
  </si>
  <si>
    <t>TOTAL CHELTUIELI  SD</t>
  </si>
  <si>
    <t>TITLUL X ALTE CHELTUIELI</t>
  </si>
  <si>
    <t>Alte transferuri de capital către instituţii publice spau</t>
  </si>
  <si>
    <t>TITLUL X Proiecte cu finantare din Fonduri externe nerambursabile cadrul financiar 2014-2020</t>
  </si>
  <si>
    <t xml:space="preserve">JUDETUL  MARAMURES          </t>
  </si>
  <si>
    <t xml:space="preserve"> ANEXA NR. 3</t>
  </si>
  <si>
    <t>MUNICIPIUL BAIA MARE</t>
  </si>
  <si>
    <t xml:space="preserve"> MII LEI</t>
  </si>
  <si>
    <t xml:space="preserve">DENUMIREA INDICATORILOR </t>
  </si>
  <si>
    <t>VENITURI TOTAL din care:</t>
  </si>
  <si>
    <t xml:space="preserve">Venituri proprii </t>
  </si>
  <si>
    <t>Varsaminte din sectiunea de functionare pentru finantarea sectiunii de dezvoltare (cu semnul minus)</t>
  </si>
  <si>
    <t xml:space="preserve">Subventii </t>
  </si>
  <si>
    <t>Sume primite de la UE</t>
  </si>
  <si>
    <t>CHELTUIELI TOTALE din care:</t>
  </si>
  <si>
    <t>65.10. INVATAMANT</t>
  </si>
  <si>
    <t>66.10.06 Servicii medicale in unitati sanitare cu paturi</t>
  </si>
  <si>
    <t xml:space="preserve">67.10.10 TEATRUL MUNICIPAL  </t>
  </si>
  <si>
    <t>67.10.05 CLUB SPORTIV MINAUR</t>
  </si>
  <si>
    <t>70.10.50 SPAU</t>
  </si>
  <si>
    <t>Excedent/ Deficit</t>
  </si>
  <si>
    <t>Excedent/ deficit</t>
  </si>
  <si>
    <t>Unitatea administrativ teritoriala : MUNICIPIUL BAIA MARE</t>
  </si>
  <si>
    <t>Sume aferente creditelor interne</t>
  </si>
  <si>
    <t>IMPRUMUTURI INTERNE</t>
  </si>
  <si>
    <t>TITLUL XII Active nefinanciare TOTAL</t>
  </si>
  <si>
    <t xml:space="preserve">CAPITOL 65.07 INVATAMANT </t>
  </si>
  <si>
    <t>TITLUL XII Active nefinanciare</t>
  </si>
  <si>
    <t>CAPITOL 66.07  SANATATE</t>
  </si>
  <si>
    <t>CAPITOL 70.07 LOCUINTE, SERVICII SI DEZVOLTARE PUBLICA</t>
  </si>
  <si>
    <t>CAPITOL 74.07 PROTECTIA MEDIULUI</t>
  </si>
  <si>
    <t>CAPITOL 83.07 AGRICULTURA, SILVICULTURA, PISCICULTURA SI VANATOARE</t>
  </si>
  <si>
    <t xml:space="preserve">CAPITOL 84.07 TRANSPORTURI </t>
  </si>
  <si>
    <t>*) Se completeaza potrivit clasificatiei bugetare</t>
  </si>
  <si>
    <t xml:space="preserve">Anexa nr. 4 </t>
  </si>
  <si>
    <t>MII LEI</t>
  </si>
  <si>
    <t xml:space="preserve">Cod rand </t>
  </si>
  <si>
    <t>CAPITOL 68.07  ASIGURARI SI ASISTENTA SOCIALA</t>
  </si>
  <si>
    <t>42.02.67</t>
  </si>
  <si>
    <t>Subvenții din sume obținute în urma scoaterii la licitație a certificatelor de emisii de gaze cu efect de seră pentru finanțarea proiectelor de investiții</t>
  </si>
  <si>
    <t>48.02.12</t>
  </si>
  <si>
    <t>Alte programe comunitare finantate in perioada 2014-2020</t>
  </si>
  <si>
    <t>Instrumentul European de Vecinatate</t>
  </si>
  <si>
    <t>Transferuri din bugetul local către asociaţiile de dezvoltare intercomunitară</t>
  </si>
  <si>
    <t>41.02</t>
  </si>
  <si>
    <t xml:space="preserve">TITLUL XVI ÎMPRUMUTURI  </t>
  </si>
  <si>
    <t xml:space="preserve">TITLUL XIV ACTIVE FINANCIARE </t>
  </si>
  <si>
    <t xml:space="preserve">Taxe judiciare de timbru si alte taxe de timbru  </t>
  </si>
  <si>
    <t>Impozit si taxa pe cladiri</t>
  </si>
  <si>
    <t xml:space="preserve">Taxa pe  mijloacele de transport </t>
  </si>
  <si>
    <t>VENITURI TOTAL, din care</t>
  </si>
  <si>
    <t>CHELTUIELI TOTAL</t>
  </si>
  <si>
    <t>CAPITOL 66.08  Sanatate</t>
  </si>
  <si>
    <t>Sume primite de administratiile locale in cadrul unor programe cu finantare nerambursabila</t>
  </si>
  <si>
    <t>TITLUL X  Alte programe comunitare finantate in perioada 2014-2020</t>
  </si>
  <si>
    <t>04.02.06</t>
  </si>
  <si>
    <t>Sume repartizate pentru finanțarea instituțiilor de spectacole și concerte</t>
  </si>
  <si>
    <t xml:space="preserve">Alte impozite pe venit, profit si castiguri din capital </t>
  </si>
  <si>
    <t>de ascuns</t>
  </si>
  <si>
    <t>Sume alocate din sumele obținute în urma scoaterii la licitație a certificatelor de emisii de gaze cu efect de seră pentru finanțarea proiectelor de investiții</t>
  </si>
  <si>
    <t>43.02.44</t>
  </si>
  <si>
    <t>67.10.50 CENTRUL DE ARTA CONTEMPORANA COLONIA PICTORILOR</t>
  </si>
  <si>
    <t>Invatamant anteprescolar</t>
  </si>
  <si>
    <t>65.02.13</t>
  </si>
  <si>
    <t>42.02.16</t>
  </si>
  <si>
    <t>Subvenţii de la bugetul de stat către bugetele locale pentru finantarea investitiilor în sănătate</t>
  </si>
  <si>
    <t>DE ASCUNS</t>
  </si>
  <si>
    <t>Cofinanțare publică acordată în cadrul Mecanismelor financiare Spațiul Economic European și Norvegian 2014-2021</t>
  </si>
  <si>
    <t>42.75</t>
  </si>
  <si>
    <t>43.02.31</t>
  </si>
  <si>
    <t>Sume alocate din bugetul AFIR, pentru susținerea proiectelor din PNDR 2014-2020</t>
  </si>
  <si>
    <t>Titlul XII Proiecte cu finanțare din sumele reprezentând asistența financiară nerambursabilă aferentă PNRR ( cod 60.01 la 60.03)</t>
  </si>
  <si>
    <t>Alocări de sume din PNRR aferente asistenței financiare nerambursabile ( cod 42.02.88 01 la 42.02.88.03)</t>
  </si>
  <si>
    <t>42.02.88</t>
  </si>
  <si>
    <t>37.06</t>
  </si>
  <si>
    <t>58.15</t>
  </si>
  <si>
    <t>66.08</t>
  </si>
  <si>
    <t xml:space="preserve">                                                                                                        </t>
  </si>
  <si>
    <t>57.02.05</t>
  </si>
  <si>
    <t>Suport alimentar</t>
  </si>
  <si>
    <t>42.02.89</t>
  </si>
  <si>
    <t>Alocări de sume din PNRR aferente componentei împrumuturi ( cod 42.02.89.01 la 42.02.89.03)</t>
  </si>
  <si>
    <t>Titlul XIII  Proiecte cu finanțare din sumele aferente componentei de împrumuturi a PNRR (cod 61.01 la 61.03)</t>
  </si>
  <si>
    <t xml:space="preserve">TITLUL XV  ACTIVE NEFINANCIARE </t>
  </si>
  <si>
    <t>TITLUL XXI PLATI EFECTUATE IN ANII PRECEDENTI</t>
  </si>
  <si>
    <t xml:space="preserve">TITLUL XV ACTIVE NEFINANCIARE </t>
  </si>
  <si>
    <t>TITLUL XV  ACTIVE NEFINANCIARE</t>
  </si>
  <si>
    <t>TITLUL XI ALTE CHELTUIELI (rd.195)</t>
  </si>
  <si>
    <t>TITLUL XV ACTIVE NEFINANCIARE</t>
  </si>
  <si>
    <t xml:space="preserve">TITLUL XIX RAMBURSARI DE CREDITE </t>
  </si>
  <si>
    <t>51.02.50</t>
  </si>
  <si>
    <t>Transferuri de capital acordate în baza contractelor de parteneriat sau asociere</t>
  </si>
  <si>
    <t xml:space="preserve">TITLUL VI TRANSFERURI INTRE UNITATI ALE ADMINISTRATIEI PUBLICE  (cod 51.02) </t>
  </si>
  <si>
    <t>43.02.20</t>
  </si>
  <si>
    <t>Alte subventii primite de la administratia centrala pentru finantarea unor activitati</t>
  </si>
  <si>
    <t>Fond de rezerva bugetara la dispozitia autorităţilor locale</t>
  </si>
  <si>
    <t>42.02.66</t>
  </si>
  <si>
    <t>Subvenţii din bugetul de stat alocate conform contractelor încheiate cu direcţiile de sănătate publică</t>
  </si>
  <si>
    <t>74.02.03</t>
  </si>
  <si>
    <t>Reducerea şi controlul poluării</t>
  </si>
  <si>
    <t>55.01.84</t>
  </si>
  <si>
    <t>Sume reprezentând stimulentul pentru casarea autovehiculelor uzate</t>
  </si>
  <si>
    <t>51.01.46</t>
  </si>
  <si>
    <t>Transferuri din bugetele locale pentru finanţarea cheltuielilor curente din domeniul sănătăţii</t>
  </si>
  <si>
    <t>51.02.28</t>
  </si>
  <si>
    <t>Transferuri din bugetele locale pentru finanţarea  cheltuielilor de capital din domeniul sănătăţii</t>
  </si>
  <si>
    <t>42.02.87</t>
  </si>
  <si>
    <t>Subvenții de la bugetul de stat către bugetele locale pentru Programul național de investiții „Anghel Saligny”</t>
  </si>
  <si>
    <t>Ioan Doru Dăncuș</t>
  </si>
  <si>
    <t>Primar</t>
  </si>
  <si>
    <t xml:space="preserve"> Primar</t>
  </si>
  <si>
    <t xml:space="preserve">   BUGETUL FONDURILOR EXTERNE NERAMBURSABILE PE ANUL 2025</t>
  </si>
  <si>
    <t xml:space="preserve">CAPITOL 70.08 Locuinte, servicii si dezvoltare publica </t>
  </si>
  <si>
    <t>70.08</t>
  </si>
  <si>
    <t>56.72</t>
  </si>
  <si>
    <t>TITLUL VIII Alte programe comunitare finantate in perioada 2021-2027</t>
  </si>
  <si>
    <t>Buget 2025</t>
  </si>
  <si>
    <t>Alte programe comunitare finantate in perioada 2021-2027</t>
  </si>
  <si>
    <t>45.72</t>
  </si>
  <si>
    <t xml:space="preserve">BUGETUL INSTITUTIIlLOR PUBLICE SI ACTIVITATILOR FINANTATE INTEGRAL SAU PARTIAL DIN VENITURI PROPRII PE ANUL 2025
</t>
  </si>
  <si>
    <t xml:space="preserve"> BUGETUL LOCAL AL MUNICIPIULUI BAIA MARE PE ANUL  2025</t>
  </si>
  <si>
    <t>33.02.13</t>
  </si>
  <si>
    <t>Contribuția de întreținere a persoanelor asistate</t>
  </si>
  <si>
    <t>43.02.48</t>
  </si>
  <si>
    <t>43.02.49</t>
  </si>
  <si>
    <t>45.02</t>
  </si>
  <si>
    <t>45.02.48</t>
  </si>
  <si>
    <t>45.02.49</t>
  </si>
  <si>
    <t xml:space="preserve">Sume primite de la UE/alti donatori in contul platilor efectuate si prefinantari </t>
  </si>
  <si>
    <t>Fondul European de Dezvoltare Regională (FEDR), aferent cadrului financiar 2021-2027</t>
  </si>
  <si>
    <t xml:space="preserve">Fondul Social European Plus (FSE+), aferent cadrului financiar 2021-2027 </t>
  </si>
  <si>
    <t xml:space="preserve">Sume alocate din PNRR aferente componentei împrumuturi </t>
  </si>
  <si>
    <t xml:space="preserve">Sume alocate din PNRR aferente asistenței financiare nerambursabile   </t>
  </si>
  <si>
    <t>67.02.03.09</t>
  </si>
  <si>
    <t>Titlul VIII Proiecte cu finantare din  Fonduri externe nerambursabile (FEN) postaderare</t>
  </si>
  <si>
    <t>PE ANUL 2025</t>
  </si>
  <si>
    <t xml:space="preserve">Comisioane  si alte costuri aferente imprumuturilor </t>
  </si>
  <si>
    <t>Buget rectificat</t>
  </si>
  <si>
    <t>Anexa nr. 5</t>
  </si>
  <si>
    <t xml:space="preserve">   BUGETUL CREDITELOR INTERNE 2025</t>
  </si>
  <si>
    <t>Titlul VIII Proiecte cu finantare din  Fonduri externe nerambursabile (FEN) postaderare TOTAL</t>
  </si>
  <si>
    <t>42.02.93</t>
  </si>
  <si>
    <t>Subvenţii de la bugetul de stat necesare susţinerii derulării proiectelor finanţate din fonduri externe nerambursabile (FEN) postaderare, aferete perioadei de programare 2021-2027</t>
  </si>
  <si>
    <t>Subvenţii de la bugetul de stat necesare susţinerii derulării proiectelor finanţate din fonduri externe nerambursabile (FEN) postaderare, aferente perioadei de programare 2021-2027</t>
  </si>
  <si>
    <t>56.48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</si>
</sst>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#,##0.0_);\(#,##0.0\)"/>
    <numFmt numFmtId="166" formatCode="0.0"/>
  </numFmts>
  <fonts count="49">
    <font>
      <sz val="10"/>
      <name val="Arial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2"/>
      <name val="Albertus Extra Bold"/>
      <family val="2"/>
    </font>
    <font>
      <b/>
      <sz val="14"/>
      <name val="Arial"/>
      <family val="2"/>
    </font>
    <font>
      <vertAlign val="superscript"/>
      <sz val="12"/>
      <name val="Arial"/>
      <family val="2"/>
    </font>
    <font>
      <vertAlign val="superscript"/>
      <sz val="10"/>
      <name val="Arial"/>
      <family val="2"/>
    </font>
    <font>
      <sz val="9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trike/>
      <sz val="14"/>
      <name val="Arial"/>
      <family val="2"/>
    </font>
    <font>
      <b/>
      <strike/>
      <sz val="14"/>
      <name val="Arial"/>
      <family val="2"/>
    </font>
    <font>
      <b/>
      <u/>
      <sz val="14"/>
      <name val="Arial"/>
      <family val="2"/>
    </font>
    <font>
      <u/>
      <sz val="14"/>
      <name val="Arial"/>
      <family val="2"/>
    </font>
    <font>
      <i/>
      <sz val="14"/>
      <name val="Arial"/>
      <family val="2"/>
    </font>
    <font>
      <b/>
      <i/>
      <sz val="14"/>
      <name val="Arial"/>
      <family val="2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4"/>
      <name val="Arial"/>
      <family val="2"/>
      <charset val="238"/>
    </font>
    <font>
      <i/>
      <sz val="12"/>
      <name val="Arial"/>
      <family val="2"/>
    </font>
    <font>
      <sz val="10"/>
      <color rgb="FFFFFF00"/>
      <name val="Arial"/>
      <family val="2"/>
    </font>
    <font>
      <sz val="16"/>
      <color rgb="FFFF0000"/>
      <name val="Arial"/>
      <family val="2"/>
    </font>
    <font>
      <b/>
      <sz val="14"/>
      <name val="Arial"/>
      <family val="2"/>
      <charset val="238"/>
    </font>
    <font>
      <b/>
      <sz val="12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8"/>
      </bottom>
      <diagonal/>
    </border>
    <border>
      <left/>
      <right style="medium">
        <color indexed="64"/>
      </right>
      <top style="thin">
        <color indexed="64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54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1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24" fillId="0" borderId="0"/>
    <xf numFmtId="0" fontId="1" fillId="0" borderId="0"/>
    <xf numFmtId="0" fontId="1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</cellStyleXfs>
  <cellXfs count="570">
    <xf numFmtId="0" fontId="0" fillId="0" borderId="0" xfId="0"/>
    <xf numFmtId="0" fontId="4" fillId="0" borderId="0" xfId="45" applyFont="1" applyFill="1"/>
    <xf numFmtId="0" fontId="5" fillId="0" borderId="0" xfId="46" applyFont="1" applyFill="1" applyAlignment="1">
      <alignment horizontal="center"/>
    </xf>
    <xf numFmtId="0" fontId="5" fillId="0" borderId="0" xfId="46" applyFont="1" applyFill="1"/>
    <xf numFmtId="0" fontId="5" fillId="0" borderId="0" xfId="45" applyFont="1" applyFill="1"/>
    <xf numFmtId="165" fontId="5" fillId="0" borderId="0" xfId="46" applyNumberFormat="1" applyFont="1" applyFill="1" applyBorder="1" applyAlignment="1" applyProtection="1">
      <alignment horizontal="center"/>
    </xf>
    <xf numFmtId="165" fontId="5" fillId="0" borderId="0" xfId="46" applyNumberFormat="1" applyFont="1" applyFill="1" applyAlignment="1" applyProtection="1">
      <alignment horizontal="left"/>
    </xf>
    <xf numFmtId="0" fontId="27" fillId="0" borderId="0" xfId="46" applyFont="1" applyFill="1"/>
    <xf numFmtId="0" fontId="24" fillId="0" borderId="0" xfId="0" applyFont="1"/>
    <xf numFmtId="0" fontId="4" fillId="0" borderId="0" xfId="46" applyFont="1" applyFill="1"/>
    <xf numFmtId="0" fontId="5" fillId="0" borderId="0" xfId="48" applyFont="1" applyFill="1" applyBorder="1" applyAlignment="1">
      <alignment vertical="center"/>
    </xf>
    <xf numFmtId="0" fontId="4" fillId="0" borderId="0" xfId="46" applyFont="1" applyFill="1" applyBorder="1"/>
    <xf numFmtId="0" fontId="4" fillId="0" borderId="0" xfId="46" quotePrefix="1" applyFont="1" applyFill="1" applyBorder="1" applyAlignment="1">
      <alignment horizontal="left"/>
    </xf>
    <xf numFmtId="0" fontId="2" fillId="0" borderId="0" xfId="0" applyFont="1"/>
    <xf numFmtId="0" fontId="28" fillId="0" borderId="0" xfId="46" applyFont="1" applyFill="1" applyAlignment="1">
      <alignment horizontal="center"/>
    </xf>
    <xf numFmtId="0" fontId="4" fillId="0" borderId="0" xfId="46" quotePrefix="1" applyFont="1" applyFill="1" applyBorder="1" applyAlignment="1"/>
    <xf numFmtId="0" fontId="5" fillId="0" borderId="0" xfId="46" applyFont="1" applyFill="1" applyBorder="1" applyAlignment="1">
      <alignment horizontal="center"/>
    </xf>
    <xf numFmtId="0" fontId="5" fillId="0" borderId="0" xfId="46" applyFont="1" applyFill="1" applyBorder="1"/>
    <xf numFmtId="14" fontId="5" fillId="0" borderId="0" xfId="46" applyNumberFormat="1" applyFont="1" applyFill="1" applyBorder="1"/>
    <xf numFmtId="0" fontId="5" fillId="0" borderId="0" xfId="46" quotePrefix="1" applyFont="1" applyFill="1" applyBorder="1"/>
    <xf numFmtId="0" fontId="5" fillId="0" borderId="10" xfId="46" applyFont="1" applyFill="1" applyBorder="1" applyAlignment="1"/>
    <xf numFmtId="0" fontId="1" fillId="0" borderId="10" xfId="46" applyFont="1" applyFill="1" applyBorder="1" applyAlignment="1">
      <alignment horizontal="center" vertical="center"/>
    </xf>
    <xf numFmtId="165" fontId="1" fillId="0" borderId="11" xfId="46" applyNumberFormat="1" applyFont="1" applyFill="1" applyBorder="1" applyAlignment="1" applyProtection="1">
      <alignment horizontal="center" vertical="center" wrapText="1"/>
    </xf>
    <xf numFmtId="0" fontId="5" fillId="0" borderId="12" xfId="46" applyFont="1" applyFill="1" applyBorder="1" applyAlignment="1"/>
    <xf numFmtId="0" fontId="1" fillId="0" borderId="13" xfId="46" applyFont="1" applyFill="1" applyBorder="1" applyAlignment="1">
      <alignment horizontal="center" vertical="center" wrapText="1"/>
    </xf>
    <xf numFmtId="0" fontId="5" fillId="0" borderId="14" xfId="46" applyFont="1" applyFill="1" applyBorder="1" applyAlignment="1"/>
    <xf numFmtId="0" fontId="1" fillId="0" borderId="15" xfId="46" applyFont="1" applyFill="1" applyBorder="1" applyAlignment="1">
      <alignment horizontal="center" vertical="center"/>
    </xf>
    <xf numFmtId="165" fontId="5" fillId="0" borderId="16" xfId="46" applyNumberFormat="1" applyFont="1" applyFill="1" applyBorder="1" applyAlignment="1" applyProtection="1">
      <alignment horizontal="center"/>
    </xf>
    <xf numFmtId="165" fontId="5" fillId="0" borderId="17" xfId="46" quotePrefix="1" applyNumberFormat="1" applyFont="1" applyFill="1" applyBorder="1" applyAlignment="1" applyProtection="1">
      <alignment horizontal="center"/>
    </xf>
    <xf numFmtId="1" fontId="5" fillId="0" borderId="18" xfId="46" applyNumberFormat="1" applyFont="1" applyFill="1" applyBorder="1" applyAlignment="1" applyProtection="1">
      <alignment horizontal="center"/>
    </xf>
    <xf numFmtId="1" fontId="5" fillId="0" borderId="17" xfId="46" applyNumberFormat="1" applyFont="1" applyFill="1" applyBorder="1" applyAlignment="1" applyProtection="1">
      <alignment horizontal="center"/>
    </xf>
    <xf numFmtId="1" fontId="5" fillId="0" borderId="16" xfId="46" applyNumberFormat="1" applyFont="1" applyFill="1" applyBorder="1" applyAlignment="1" applyProtection="1">
      <alignment horizontal="center"/>
    </xf>
    <xf numFmtId="166" fontId="5" fillId="0" borderId="17" xfId="46" applyNumberFormat="1" applyFont="1" applyFill="1" applyBorder="1" applyAlignment="1">
      <alignment horizontal="center" wrapText="1"/>
    </xf>
    <xf numFmtId="166" fontId="5" fillId="0" borderId="17" xfId="46" applyNumberFormat="1" applyFont="1" applyFill="1" applyBorder="1" applyAlignment="1">
      <alignment horizontal="center"/>
    </xf>
    <xf numFmtId="165" fontId="5" fillId="0" borderId="12" xfId="46" applyNumberFormat="1" applyFont="1" applyFill="1" applyBorder="1" applyAlignment="1" applyProtection="1">
      <alignment horizontal="center"/>
    </xf>
    <xf numFmtId="165" fontId="5" fillId="0" borderId="19" xfId="46" applyNumberFormat="1" applyFont="1" applyFill="1" applyBorder="1" applyAlignment="1" applyProtection="1">
      <alignment horizontal="center"/>
    </xf>
    <xf numFmtId="1" fontId="5" fillId="0" borderId="0" xfId="46" applyNumberFormat="1" applyFont="1" applyFill="1" applyBorder="1" applyAlignment="1" applyProtection="1">
      <alignment horizontal="center"/>
    </xf>
    <xf numFmtId="1" fontId="5" fillId="0" borderId="19" xfId="46" applyNumberFormat="1" applyFont="1" applyFill="1" applyBorder="1" applyAlignment="1" applyProtection="1">
      <alignment horizontal="center"/>
    </xf>
    <xf numFmtId="1" fontId="5" fillId="0" borderId="20" xfId="46" applyNumberFormat="1" applyFont="1" applyFill="1" applyBorder="1" applyAlignment="1" applyProtection="1">
      <alignment horizontal="center"/>
    </xf>
    <xf numFmtId="1" fontId="5" fillId="0" borderId="12" xfId="46" applyNumberFormat="1" applyFont="1" applyFill="1" applyBorder="1" applyAlignment="1" applyProtection="1">
      <alignment horizontal="center"/>
    </xf>
    <xf numFmtId="166" fontId="5" fillId="0" borderId="0" xfId="46" applyNumberFormat="1" applyFont="1" applyFill="1" applyBorder="1" applyAlignment="1">
      <alignment horizontal="right"/>
    </xf>
    <xf numFmtId="0" fontId="5" fillId="0" borderId="19" xfId="46" applyFont="1" applyFill="1" applyBorder="1"/>
    <xf numFmtId="165" fontId="4" fillId="0" borderId="17" xfId="46" applyNumberFormat="1" applyFont="1" applyFill="1" applyBorder="1" applyAlignment="1" applyProtection="1">
      <alignment horizontal="left" wrapText="1"/>
    </xf>
    <xf numFmtId="165" fontId="4" fillId="0" borderId="17" xfId="46" quotePrefix="1" applyNumberFormat="1" applyFont="1" applyFill="1" applyBorder="1" applyAlignment="1" applyProtection="1">
      <alignment horizontal="center" vertical="center"/>
    </xf>
    <xf numFmtId="165" fontId="5" fillId="0" borderId="17" xfId="46" applyNumberFormat="1" applyFont="1" applyFill="1" applyBorder="1" applyAlignment="1" applyProtection="1">
      <alignment wrapText="1"/>
    </xf>
    <xf numFmtId="165" fontId="5" fillId="0" borderId="17" xfId="46" quotePrefix="1" applyNumberFormat="1" applyFont="1" applyFill="1" applyBorder="1" applyAlignment="1" applyProtection="1">
      <alignment horizontal="center" vertical="center"/>
    </xf>
    <xf numFmtId="165" fontId="5" fillId="0" borderId="17" xfId="46" applyNumberFormat="1" applyFont="1" applyFill="1" applyBorder="1" applyAlignment="1" applyProtection="1">
      <alignment horizontal="left" wrapText="1"/>
    </xf>
    <xf numFmtId="4" fontId="5" fillId="0" borderId="17" xfId="46" applyNumberFormat="1" applyFont="1" applyFill="1" applyBorder="1" applyAlignment="1">
      <alignment horizontal="right" vertical="center"/>
    </xf>
    <xf numFmtId="4" fontId="5" fillId="0" borderId="17" xfId="46" applyNumberFormat="1" applyFont="1" applyFill="1" applyBorder="1" applyAlignment="1" applyProtection="1">
      <alignment horizontal="right" vertical="center"/>
    </xf>
    <xf numFmtId="4" fontId="5" fillId="0" borderId="17" xfId="46" applyNumberFormat="1" applyFont="1" applyFill="1" applyBorder="1" applyAlignment="1" applyProtection="1">
      <alignment horizontal="right"/>
    </xf>
    <xf numFmtId="3" fontId="5" fillId="0" borderId="17" xfId="46" applyNumberFormat="1" applyFont="1" applyFill="1" applyBorder="1" applyAlignment="1" applyProtection="1">
      <alignment horizontal="right"/>
    </xf>
    <xf numFmtId="4" fontId="5" fillId="0" borderId="17" xfId="46" quotePrefix="1" applyNumberFormat="1" applyFont="1" applyFill="1" applyBorder="1" applyAlignment="1" applyProtection="1"/>
    <xf numFmtId="165" fontId="5" fillId="0" borderId="17" xfId="46" applyNumberFormat="1" applyFont="1" applyFill="1" applyBorder="1" applyAlignment="1" applyProtection="1">
      <alignment horizontal="left" vertical="center" wrapText="1"/>
    </xf>
    <xf numFmtId="3" fontId="5" fillId="0" borderId="17" xfId="46" applyNumberFormat="1" applyFont="1" applyFill="1" applyBorder="1" applyAlignment="1" applyProtection="1">
      <alignment horizontal="right" vertical="center"/>
    </xf>
    <xf numFmtId="165" fontId="5" fillId="0" borderId="17" xfId="46" applyNumberFormat="1" applyFont="1" applyFill="1" applyBorder="1" applyAlignment="1" applyProtection="1">
      <alignment vertical="center" wrapText="1"/>
    </xf>
    <xf numFmtId="3" fontId="5" fillId="0" borderId="17" xfId="46" applyNumberFormat="1" applyFont="1" applyFill="1" applyBorder="1" applyAlignment="1">
      <alignment horizontal="right" vertical="center"/>
    </xf>
    <xf numFmtId="165" fontId="25" fillId="0" borderId="17" xfId="46" applyNumberFormat="1" applyFont="1" applyFill="1" applyBorder="1" applyAlignment="1" applyProtection="1">
      <alignment horizontal="left" wrapText="1"/>
    </xf>
    <xf numFmtId="1" fontId="25" fillId="0" borderId="17" xfId="46" quotePrefix="1" applyNumberFormat="1" applyFont="1" applyFill="1" applyBorder="1" applyAlignment="1" applyProtection="1">
      <alignment horizontal="center" vertical="center"/>
    </xf>
    <xf numFmtId="0" fontId="26" fillId="0" borderId="0" xfId="0" applyFont="1"/>
    <xf numFmtId="165" fontId="5" fillId="0" borderId="17" xfId="46" quotePrefix="1" applyNumberFormat="1" applyFont="1" applyFill="1" applyBorder="1" applyAlignment="1" applyProtection="1">
      <alignment horizontal="left" wrapText="1"/>
    </xf>
    <xf numFmtId="1" fontId="5" fillId="0" borderId="17" xfId="46" quotePrefix="1" applyNumberFormat="1" applyFont="1" applyFill="1" applyBorder="1" applyAlignment="1" applyProtection="1">
      <alignment horizontal="center" vertical="center"/>
    </xf>
    <xf numFmtId="165" fontId="5" fillId="0" borderId="17" xfId="46" applyNumberFormat="1" applyFont="1" applyFill="1" applyBorder="1" applyAlignment="1" applyProtection="1">
      <alignment horizontal="left" vertical="top" wrapText="1"/>
    </xf>
    <xf numFmtId="0" fontId="5" fillId="0" borderId="17" xfId="46" quotePrefix="1" applyFont="1" applyFill="1" applyBorder="1" applyAlignment="1">
      <alignment horizontal="left" wrapText="1"/>
    </xf>
    <xf numFmtId="0" fontId="5" fillId="0" borderId="17" xfId="46" applyFont="1" applyFill="1" applyBorder="1" applyAlignment="1">
      <alignment horizontal="left" wrapText="1"/>
    </xf>
    <xf numFmtId="165" fontId="4" fillId="0" borderId="17" xfId="46" applyNumberFormat="1" applyFont="1" applyFill="1" applyBorder="1" applyAlignment="1" applyProtection="1">
      <alignment horizontal="left" vertical="center" wrapText="1"/>
    </xf>
    <xf numFmtId="3" fontId="4" fillId="0" borderId="17" xfId="46" applyNumberFormat="1" applyFont="1" applyFill="1" applyBorder="1" applyAlignment="1">
      <alignment horizontal="center" vertical="center"/>
    </xf>
    <xf numFmtId="3" fontId="5" fillId="0" borderId="17" xfId="46" applyNumberFormat="1" applyFont="1" applyFill="1" applyBorder="1" applyAlignment="1">
      <alignment horizontal="center" vertical="center"/>
    </xf>
    <xf numFmtId="3" fontId="5" fillId="0" borderId="17" xfId="46" applyNumberFormat="1" applyFont="1" applyFill="1" applyBorder="1" applyAlignment="1" applyProtection="1">
      <alignment horizontal="center" vertical="center"/>
    </xf>
    <xf numFmtId="165" fontId="1" fillId="0" borderId="0" xfId="46" applyNumberFormat="1" applyFont="1" applyFill="1" applyBorder="1" applyAlignment="1" applyProtection="1">
      <alignment horizontal="left"/>
    </xf>
    <xf numFmtId="165" fontId="1" fillId="0" borderId="0" xfId="46" applyNumberFormat="1" applyFont="1" applyFill="1" applyBorder="1" applyAlignment="1" applyProtection="1">
      <alignment horizontal="center"/>
    </xf>
    <xf numFmtId="164" fontId="1" fillId="0" borderId="0" xfId="46" applyNumberFormat="1" applyFont="1" applyFill="1" applyBorder="1" applyAlignment="1" applyProtection="1"/>
    <xf numFmtId="0" fontId="1" fillId="0" borderId="0" xfId="46" applyFont="1" applyFill="1" applyBorder="1"/>
    <xf numFmtId="0" fontId="1" fillId="0" borderId="0" xfId="46" applyFont="1" applyFill="1" applyBorder="1" applyAlignment="1"/>
    <xf numFmtId="0" fontId="1" fillId="0" borderId="0" xfId="46" applyFont="1" applyFill="1" applyAlignment="1">
      <alignment horizontal="center"/>
    </xf>
    <xf numFmtId="0" fontId="1" fillId="0" borderId="0" xfId="46" applyFont="1" applyFill="1" applyAlignment="1"/>
    <xf numFmtId="0" fontId="1" fillId="0" borderId="0" xfId="46" applyFont="1" applyFill="1" applyBorder="1" applyAlignment="1">
      <alignment horizontal="left" indent="4"/>
    </xf>
    <xf numFmtId="0" fontId="1" fillId="0" borderId="0" xfId="46" quotePrefix="1" applyFont="1" applyFill="1" applyBorder="1" applyAlignment="1">
      <alignment horizontal="left" indent="6"/>
    </xf>
    <xf numFmtId="0" fontId="1" fillId="0" borderId="0" xfId="46" applyFont="1" applyFill="1" applyBorder="1" applyAlignment="1">
      <alignment horizontal="center"/>
    </xf>
    <xf numFmtId="0" fontId="31" fillId="0" borderId="0" xfId="46" quotePrefix="1" applyFont="1" applyFill="1" applyBorder="1" applyAlignment="1">
      <alignment horizontal="left" indent="6"/>
    </xf>
    <xf numFmtId="0" fontId="31" fillId="0" borderId="0" xfId="46" applyFont="1" applyFill="1" applyBorder="1" applyAlignment="1">
      <alignment horizontal="center"/>
    </xf>
    <xf numFmtId="0" fontId="31" fillId="0" borderId="0" xfId="46" applyFont="1" applyFill="1" applyBorder="1"/>
    <xf numFmtId="0" fontId="1" fillId="0" borderId="0" xfId="0" applyFont="1"/>
    <xf numFmtId="3" fontId="5" fillId="0" borderId="0" xfId="46" applyNumberFormat="1" applyFont="1" applyFill="1" applyBorder="1" applyAlignment="1">
      <alignment horizontal="center" vertical="center"/>
    </xf>
    <xf numFmtId="0" fontId="5" fillId="0" borderId="0" xfId="0" applyFont="1"/>
    <xf numFmtId="0" fontId="32" fillId="0" borderId="0" xfId="39" applyFont="1"/>
    <xf numFmtId="0" fontId="28" fillId="0" borderId="0" xfId="0" applyFont="1"/>
    <xf numFmtId="0" fontId="28" fillId="0" borderId="0" xfId="39" applyFont="1" applyAlignment="1">
      <alignment horizontal="right"/>
    </xf>
    <xf numFmtId="0" fontId="5" fillId="0" borderId="0" xfId="39" applyFont="1"/>
    <xf numFmtId="0" fontId="28" fillId="0" borderId="21" xfId="39" applyFont="1" applyBorder="1" applyAlignment="1">
      <alignment horizontal="center" vertical="center" wrapText="1"/>
    </xf>
    <xf numFmtId="0" fontId="28" fillId="0" borderId="22" xfId="41" applyFont="1" applyBorder="1" applyAlignment="1">
      <alignment horizontal="center" vertical="center" wrapText="1"/>
    </xf>
    <xf numFmtId="0" fontId="2" fillId="0" borderId="23" xfId="39" applyFont="1" applyBorder="1"/>
    <xf numFmtId="4" fontId="32" fillId="0" borderId="24" xfId="39" applyNumberFormat="1" applyFont="1" applyBorder="1"/>
    <xf numFmtId="0" fontId="2" fillId="0" borderId="25" xfId="39" applyFont="1" applyBorder="1"/>
    <xf numFmtId="4" fontId="28" fillId="0" borderId="26" xfId="39" applyNumberFormat="1" applyFont="1" applyBorder="1"/>
    <xf numFmtId="0" fontId="1" fillId="0" borderId="25" xfId="39" applyFont="1" applyBorder="1"/>
    <xf numFmtId="4" fontId="32" fillId="0" borderId="26" xfId="39" applyNumberFormat="1" applyFont="1" applyBorder="1"/>
    <xf numFmtId="0" fontId="1" fillId="0" borderId="25" xfId="39" applyFont="1" applyBorder="1" applyAlignment="1">
      <alignment wrapText="1"/>
    </xf>
    <xf numFmtId="0" fontId="1" fillId="0" borderId="27" xfId="39" applyFont="1" applyBorder="1"/>
    <xf numFmtId="4" fontId="32" fillId="0" borderId="28" xfId="39" applyNumberFormat="1" applyFont="1" applyBorder="1"/>
    <xf numFmtId="0" fontId="1" fillId="0" borderId="0" xfId="39" applyFont="1" applyBorder="1"/>
    <xf numFmtId="0" fontId="32" fillId="0" borderId="0" xfId="0" applyFont="1"/>
    <xf numFmtId="0" fontId="28" fillId="0" borderId="29" xfId="0" applyFont="1" applyBorder="1" applyAlignment="1">
      <alignment horizontal="center" vertical="center"/>
    </xf>
    <xf numFmtId="0" fontId="28" fillId="0" borderId="25" xfId="0" applyFont="1" applyBorder="1"/>
    <xf numFmtId="0" fontId="28" fillId="0" borderId="25" xfId="0" applyFont="1" applyBorder="1" applyAlignment="1">
      <alignment vertical="center" wrapText="1"/>
    </xf>
    <xf numFmtId="0" fontId="28" fillId="0" borderId="25" xfId="0" applyFont="1" applyBorder="1" applyAlignment="1">
      <alignment wrapText="1"/>
    </xf>
    <xf numFmtId="0" fontId="28" fillId="0" borderId="21" xfId="0" applyFont="1" applyBorder="1" applyAlignment="1">
      <alignment vertical="center"/>
    </xf>
    <xf numFmtId="0" fontId="32" fillId="0" borderId="25" xfId="0" applyFont="1" applyBorder="1" applyAlignment="1">
      <alignment wrapText="1"/>
    </xf>
    <xf numFmtId="0" fontId="32" fillId="0" borderId="25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28" fillId="0" borderId="30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/>
    </xf>
    <xf numFmtId="4" fontId="28" fillId="0" borderId="26" xfId="0" applyNumberFormat="1" applyFont="1" applyBorder="1"/>
    <xf numFmtId="0" fontId="32" fillId="0" borderId="17" xfId="0" applyFont="1" applyBorder="1" applyAlignment="1">
      <alignment horizontal="center" vertical="center"/>
    </xf>
    <xf numFmtId="4" fontId="28" fillId="0" borderId="31" xfId="0" applyNumberFormat="1" applyFont="1" applyBorder="1"/>
    <xf numFmtId="0" fontId="28" fillId="0" borderId="32" xfId="0" applyFont="1" applyBorder="1" applyAlignment="1">
      <alignment horizontal="center" vertical="center"/>
    </xf>
    <xf numFmtId="4" fontId="28" fillId="0" borderId="22" xfId="0" applyNumberFormat="1" applyFont="1" applyBorder="1" applyAlignment="1">
      <alignment vertical="center"/>
    </xf>
    <xf numFmtId="0" fontId="32" fillId="0" borderId="15" xfId="0" applyFont="1" applyBorder="1" applyAlignment="1">
      <alignment horizontal="center"/>
    </xf>
    <xf numFmtId="4" fontId="32" fillId="0" borderId="33" xfId="0" applyNumberFormat="1" applyFont="1" applyBorder="1"/>
    <xf numFmtId="0" fontId="28" fillId="0" borderId="17" xfId="0" applyFont="1" applyBorder="1" applyAlignment="1">
      <alignment horizontal="center"/>
    </xf>
    <xf numFmtId="4" fontId="32" fillId="0" borderId="26" xfId="0" applyNumberFormat="1" applyFont="1" applyBorder="1"/>
    <xf numFmtId="4" fontId="32" fillId="0" borderId="26" xfId="0" applyNumberFormat="1" applyFont="1" applyBorder="1" applyAlignment="1">
      <alignment vertical="center"/>
    </xf>
    <xf numFmtId="4" fontId="28" fillId="0" borderId="26" xfId="0" applyNumberFormat="1" applyFont="1" applyBorder="1" applyAlignment="1">
      <alignment vertical="center"/>
    </xf>
    <xf numFmtId="0" fontId="32" fillId="0" borderId="34" xfId="0" applyFont="1" applyBorder="1" applyAlignment="1">
      <alignment horizontal="left" wrapText="1"/>
    </xf>
    <xf numFmtId="0" fontId="28" fillId="0" borderId="35" xfId="41" applyFont="1" applyBorder="1" applyAlignment="1">
      <alignment horizontal="center" vertical="center" wrapText="1"/>
    </xf>
    <xf numFmtId="0" fontId="32" fillId="0" borderId="27" xfId="0" applyFont="1" applyBorder="1" applyAlignment="1">
      <alignment wrapText="1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28" fillId="0" borderId="27" xfId="0" applyFont="1" applyBorder="1" applyAlignment="1">
      <alignment wrapText="1"/>
    </xf>
    <xf numFmtId="0" fontId="32" fillId="0" borderId="36" xfId="0" applyFont="1" applyBorder="1" applyAlignment="1">
      <alignment horizontal="center"/>
    </xf>
    <xf numFmtId="4" fontId="28" fillId="0" borderId="28" xfId="0" applyNumberFormat="1" applyFont="1" applyBorder="1"/>
    <xf numFmtId="0" fontId="32" fillId="0" borderId="37" xfId="0" applyFont="1" applyBorder="1" applyAlignment="1">
      <alignment wrapText="1"/>
    </xf>
    <xf numFmtId="0" fontId="32" fillId="0" borderId="38" xfId="0" applyFont="1" applyBorder="1" applyAlignment="1">
      <alignment horizontal="center" vertical="center"/>
    </xf>
    <xf numFmtId="4" fontId="32" fillId="0" borderId="39" xfId="0" applyNumberFormat="1" applyFont="1" applyBorder="1" applyAlignment="1">
      <alignment vertical="center"/>
    </xf>
    <xf numFmtId="4" fontId="32" fillId="0" borderId="28" xfId="0" applyNumberFormat="1" applyFont="1" applyBorder="1"/>
    <xf numFmtId="4" fontId="5" fillId="0" borderId="17" xfId="46" applyNumberFormat="1" applyFont="1" applyFill="1" applyBorder="1" applyAlignment="1" applyProtection="1">
      <alignment horizontal="center" vertical="center"/>
    </xf>
    <xf numFmtId="0" fontId="28" fillId="0" borderId="40" xfId="41" applyFont="1" applyFill="1" applyBorder="1" applyAlignment="1">
      <alignment horizontal="center" vertical="center" wrapText="1"/>
    </xf>
    <xf numFmtId="4" fontId="32" fillId="0" borderId="41" xfId="39" applyNumberFormat="1" applyFont="1" applyBorder="1"/>
    <xf numFmtId="4" fontId="28" fillId="0" borderId="33" xfId="0" applyNumberFormat="1" applyFont="1" applyBorder="1"/>
    <xf numFmtId="4" fontId="28" fillId="0" borderId="40" xfId="0" applyNumberFormat="1" applyFont="1" applyBorder="1"/>
    <xf numFmtId="0" fontId="1" fillId="25" borderId="0" xfId="42" applyFont="1" applyFill="1"/>
    <xf numFmtId="0" fontId="28" fillId="25" borderId="0" xfId="44" applyFont="1" applyFill="1" applyBorder="1" applyAlignment="1">
      <alignment horizontal="left" vertical="top" wrapText="1"/>
    </xf>
    <xf numFmtId="0" fontId="1" fillId="25" borderId="0" xfId="42" applyFont="1" applyFill="1" applyAlignment="1">
      <alignment horizontal="center"/>
    </xf>
    <xf numFmtId="0" fontId="2" fillId="25" borderId="0" xfId="42" applyFont="1" applyFill="1"/>
    <xf numFmtId="0" fontId="1" fillId="25" borderId="0" xfId="42" applyFont="1" applyFill="1" applyAlignment="1">
      <alignment vertical="center"/>
    </xf>
    <xf numFmtId="0" fontId="32" fillId="25" borderId="43" xfId="44" applyFont="1" applyFill="1" applyBorder="1" applyAlignment="1">
      <alignment horizontal="left" indent="3"/>
    </xf>
    <xf numFmtId="0" fontId="32" fillId="25" borderId="12" xfId="44" applyFont="1" applyFill="1" applyBorder="1" applyAlignment="1">
      <alignment horizontal="left" vertical="top" wrapText="1"/>
    </xf>
    <xf numFmtId="0" fontId="32" fillId="25" borderId="44" xfId="44" applyFont="1" applyFill="1" applyBorder="1" applyAlignment="1">
      <alignment horizontal="left"/>
    </xf>
    <xf numFmtId="0" fontId="32" fillId="25" borderId="40" xfId="44" applyFont="1" applyFill="1" applyBorder="1" applyAlignment="1">
      <alignment horizontal="left"/>
    </xf>
    <xf numFmtId="0" fontId="1" fillId="25" borderId="0" xfId="42" applyFont="1" applyFill="1" applyBorder="1"/>
    <xf numFmtId="0" fontId="32" fillId="25" borderId="45" xfId="44" applyFont="1" applyFill="1" applyBorder="1" applyAlignment="1">
      <alignment horizontal="left" indent="3"/>
    </xf>
    <xf numFmtId="0" fontId="32" fillId="25" borderId="46" xfId="44" applyFont="1" applyFill="1" applyBorder="1" applyAlignment="1">
      <alignment horizontal="left" vertical="top" wrapText="1"/>
    </xf>
    <xf numFmtId="4" fontId="33" fillId="25" borderId="40" xfId="44" applyNumberFormat="1" applyFont="1" applyFill="1" applyBorder="1" applyAlignment="1">
      <alignment horizontal="center"/>
    </xf>
    <xf numFmtId="0" fontId="32" fillId="25" borderId="0" xfId="44" applyFont="1" applyFill="1" applyBorder="1" applyAlignment="1">
      <alignment horizontal="left" indent="3"/>
    </xf>
    <xf numFmtId="0" fontId="32" fillId="25" borderId="0" xfId="44" applyFont="1" applyFill="1" applyBorder="1" applyAlignment="1">
      <alignment horizontal="left" vertical="top" wrapText="1"/>
    </xf>
    <xf numFmtId="0" fontId="32" fillId="25" borderId="0" xfId="44" applyFont="1" applyFill="1" applyBorder="1" applyAlignment="1">
      <alignment horizontal="left"/>
    </xf>
    <xf numFmtId="0" fontId="28" fillId="25" borderId="0" xfId="44" applyFont="1" applyFill="1" applyBorder="1" applyAlignment="1">
      <alignment horizontal="left"/>
    </xf>
    <xf numFmtId="0" fontId="32" fillId="25" borderId="0" xfId="40" applyFont="1" applyFill="1" applyAlignment="1">
      <alignment vertical="center"/>
    </xf>
    <xf numFmtId="0" fontId="32" fillId="25" borderId="0" xfId="44" applyFont="1" applyFill="1" applyBorder="1" applyAlignment="1"/>
    <xf numFmtId="0" fontId="4" fillId="25" borderId="0" xfId="44" applyFont="1" applyFill="1" applyAlignment="1">
      <alignment horizontal="left" vertical="top" wrapText="1"/>
    </xf>
    <xf numFmtId="0" fontId="2" fillId="25" borderId="0" xfId="44" applyFont="1" applyFill="1" applyBorder="1" applyAlignment="1">
      <alignment horizontal="left" indent="4"/>
    </xf>
    <xf numFmtId="0" fontId="1" fillId="25" borderId="0" xfId="44" applyFont="1" applyFill="1" applyAlignment="1">
      <alignment vertical="top" wrapText="1"/>
    </xf>
    <xf numFmtId="0" fontId="1" fillId="25" borderId="0" xfId="44" applyFont="1" applyFill="1" applyBorder="1"/>
    <xf numFmtId="0" fontId="1" fillId="25" borderId="0" xfId="44" applyFont="1" applyFill="1"/>
    <xf numFmtId="0" fontId="1" fillId="25" borderId="0" xfId="42" applyFont="1" applyFill="1" applyAlignment="1">
      <alignment vertical="top" wrapText="1"/>
    </xf>
    <xf numFmtId="4" fontId="32" fillId="0" borderId="0" xfId="39" applyNumberFormat="1" applyFont="1" applyBorder="1"/>
    <xf numFmtId="0" fontId="32" fillId="0" borderId="34" xfId="0" applyFont="1" applyBorder="1" applyAlignment="1">
      <alignment wrapText="1"/>
    </xf>
    <xf numFmtId="0" fontId="1" fillId="25" borderId="0" xfId="42" applyFont="1" applyFill="1" applyAlignment="1">
      <alignment horizontal="right"/>
    </xf>
    <xf numFmtId="4" fontId="6" fillId="25" borderId="33" xfId="44" applyNumberFormat="1" applyFont="1" applyFill="1" applyBorder="1" applyAlignment="1">
      <alignment horizontal="right"/>
    </xf>
    <xf numFmtId="4" fontId="6" fillId="25" borderId="47" xfId="44" applyNumberFormat="1" applyFont="1" applyFill="1" applyBorder="1" applyAlignment="1">
      <alignment horizontal="right"/>
    </xf>
    <xf numFmtId="0" fontId="1" fillId="25" borderId="0" xfId="42" applyFont="1" applyFill="1" applyAlignment="1">
      <alignment horizontal="left"/>
    </xf>
    <xf numFmtId="4" fontId="5" fillId="0" borderId="17" xfId="46" applyNumberFormat="1" applyFont="1" applyFill="1" applyBorder="1" applyAlignment="1" applyProtection="1"/>
    <xf numFmtId="0" fontId="2" fillId="0" borderId="48" xfId="39" applyFont="1" applyBorder="1"/>
    <xf numFmtId="4" fontId="28" fillId="0" borderId="24" xfId="39" applyNumberFormat="1" applyFont="1" applyBorder="1"/>
    <xf numFmtId="4" fontId="4" fillId="0" borderId="17" xfId="46" applyNumberFormat="1" applyFont="1" applyFill="1" applyBorder="1" applyAlignment="1" applyProtection="1">
      <alignment horizontal="right" vertical="center"/>
    </xf>
    <xf numFmtId="4" fontId="5" fillId="24" borderId="17" xfId="46" applyNumberFormat="1" applyFont="1" applyFill="1" applyBorder="1" applyAlignment="1">
      <alignment horizontal="right" vertical="center"/>
    </xf>
    <xf numFmtId="4" fontId="25" fillId="0" borderId="17" xfId="46" applyNumberFormat="1" applyFont="1" applyFill="1" applyBorder="1" applyAlignment="1">
      <alignment horizontal="right" vertical="center"/>
    </xf>
    <xf numFmtId="3" fontId="25" fillId="0" borderId="17" xfId="46" applyNumberFormat="1" applyFont="1" applyFill="1" applyBorder="1" applyAlignment="1">
      <alignment horizontal="right" vertical="center"/>
    </xf>
    <xf numFmtId="4" fontId="25" fillId="0" borderId="17" xfId="46" applyNumberFormat="1" applyFont="1" applyFill="1" applyBorder="1" applyAlignment="1" applyProtection="1">
      <alignment horizontal="right" vertical="center"/>
    </xf>
    <xf numFmtId="4" fontId="4" fillId="0" borderId="17" xfId="46" applyNumberFormat="1" applyFont="1" applyFill="1" applyBorder="1" applyAlignment="1">
      <alignment horizontal="center" vertical="center"/>
    </xf>
    <xf numFmtId="4" fontId="5" fillId="0" borderId="17" xfId="46" applyNumberFormat="1" applyFont="1" applyFill="1" applyBorder="1" applyAlignment="1">
      <alignment horizontal="center" vertical="center"/>
    </xf>
    <xf numFmtId="165" fontId="44" fillId="0" borderId="17" xfId="46" applyNumberFormat="1" applyFont="1" applyFill="1" applyBorder="1" applyAlignment="1" applyProtection="1">
      <alignment horizontal="left" wrapText="1"/>
    </xf>
    <xf numFmtId="165" fontId="44" fillId="0" borderId="0" xfId="46" applyNumberFormat="1" applyFont="1" applyFill="1" applyBorder="1" applyAlignment="1" applyProtection="1">
      <alignment horizontal="left" wrapText="1"/>
    </xf>
    <xf numFmtId="165" fontId="5" fillId="0" borderId="0" xfId="46" quotePrefix="1" applyNumberFormat="1" applyFont="1" applyFill="1" applyBorder="1" applyAlignment="1" applyProtection="1">
      <alignment horizontal="center"/>
    </xf>
    <xf numFmtId="4" fontId="5" fillId="0" borderId="0" xfId="46" applyNumberFormat="1" applyFont="1" applyFill="1" applyBorder="1" applyAlignment="1">
      <alignment horizontal="center" vertical="center"/>
    </xf>
    <xf numFmtId="4" fontId="5" fillId="0" borderId="0" xfId="46" applyNumberFormat="1" applyFont="1" applyFill="1" applyBorder="1" applyAlignment="1" applyProtection="1">
      <alignment horizontal="center" vertical="center"/>
    </xf>
    <xf numFmtId="3" fontId="5" fillId="0" borderId="0" xfId="46" applyNumberFormat="1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/>
    </xf>
    <xf numFmtId="0" fontId="1" fillId="0" borderId="49" xfId="0" applyFont="1" applyBorder="1"/>
    <xf numFmtId="0" fontId="28" fillId="0" borderId="50" xfId="0" applyFont="1" applyBorder="1" applyAlignment="1">
      <alignment vertical="center" wrapText="1"/>
    </xf>
    <xf numFmtId="0" fontId="32" fillId="0" borderId="42" xfId="0" applyFont="1" applyBorder="1" applyAlignment="1">
      <alignment horizontal="center" vertical="center"/>
    </xf>
    <xf numFmtId="4" fontId="32" fillId="0" borderId="31" xfId="0" applyNumberFormat="1" applyFont="1" applyBorder="1" applyAlignment="1">
      <alignment vertical="center"/>
    </xf>
    <xf numFmtId="0" fontId="28" fillId="0" borderId="29" xfId="0" applyFont="1" applyBorder="1"/>
    <xf numFmtId="0" fontId="28" fillId="0" borderId="30" xfId="0" applyFont="1" applyBorder="1" applyAlignment="1">
      <alignment horizontal="center"/>
    </xf>
    <xf numFmtId="4" fontId="28" fillId="0" borderId="35" xfId="0" applyNumberFormat="1" applyFont="1" applyBorder="1"/>
    <xf numFmtId="4" fontId="28" fillId="0" borderId="24" xfId="0" applyNumberFormat="1" applyFont="1" applyBorder="1"/>
    <xf numFmtId="0" fontId="1" fillId="0" borderId="40" xfId="0" applyFont="1" applyBorder="1"/>
    <xf numFmtId="0" fontId="45" fillId="25" borderId="0" xfId="42" applyFont="1" applyFill="1"/>
    <xf numFmtId="0" fontId="4" fillId="0" borderId="0" xfId="39" applyFont="1" applyAlignment="1">
      <alignment horizontal="center"/>
    </xf>
    <xf numFmtId="0" fontId="28" fillId="25" borderId="34" xfId="42" applyFont="1" applyFill="1" applyBorder="1" applyAlignment="1">
      <alignment horizontal="left"/>
    </xf>
    <xf numFmtId="16" fontId="28" fillId="25" borderId="51" xfId="44" quotePrefix="1" applyNumberFormat="1" applyFont="1" applyFill="1" applyBorder="1" applyAlignment="1">
      <alignment horizontal="left"/>
    </xf>
    <xf numFmtId="0" fontId="28" fillId="25" borderId="25" xfId="42" applyFont="1" applyFill="1" applyBorder="1" applyAlignment="1">
      <alignment horizontal="left"/>
    </xf>
    <xf numFmtId="0" fontId="28" fillId="25" borderId="16" xfId="42" applyFont="1" applyFill="1" applyBorder="1" applyAlignment="1">
      <alignment horizontal="center" vertical="top" wrapText="1"/>
    </xf>
    <xf numFmtId="0" fontId="28" fillId="25" borderId="52" xfId="44" applyFont="1" applyFill="1" applyBorder="1" applyAlignment="1">
      <alignment horizontal="left"/>
    </xf>
    <xf numFmtId="0" fontId="28" fillId="25" borderId="52" xfId="44" quotePrefix="1" applyFont="1" applyFill="1" applyBorder="1" applyAlignment="1">
      <alignment horizontal="left"/>
    </xf>
    <xf numFmtId="0" fontId="28" fillId="25" borderId="25" xfId="42" applyFont="1" applyFill="1" applyBorder="1"/>
    <xf numFmtId="0" fontId="28" fillId="25" borderId="16" xfId="42" applyFont="1" applyFill="1" applyBorder="1" applyAlignment="1">
      <alignment vertical="top" wrapText="1"/>
    </xf>
    <xf numFmtId="0" fontId="28" fillId="25" borderId="25" xfId="42" applyFont="1" applyFill="1" applyBorder="1" applyAlignment="1"/>
    <xf numFmtId="16" fontId="28" fillId="25" borderId="52" xfId="44" quotePrefix="1" applyNumberFormat="1" applyFont="1" applyFill="1" applyBorder="1" applyAlignment="1">
      <alignment horizontal="left"/>
    </xf>
    <xf numFmtId="0" fontId="28" fillId="25" borderId="16" xfId="44" applyFont="1" applyFill="1" applyBorder="1" applyAlignment="1">
      <alignment vertical="top" wrapText="1"/>
    </xf>
    <xf numFmtId="0" fontId="28" fillId="25" borderId="16" xfId="42" applyFont="1" applyFill="1" applyBorder="1" applyAlignment="1"/>
    <xf numFmtId="4" fontId="6" fillId="25" borderId="26" xfId="44" applyNumberFormat="1" applyFont="1" applyFill="1" applyBorder="1" applyAlignment="1">
      <alignment horizontal="right"/>
    </xf>
    <xf numFmtId="0" fontId="28" fillId="25" borderId="52" xfId="44" applyFont="1" applyFill="1" applyBorder="1" applyAlignment="1"/>
    <xf numFmtId="3" fontId="28" fillId="25" borderId="25" xfId="42" applyNumberFormat="1" applyFont="1" applyFill="1" applyBorder="1"/>
    <xf numFmtId="0" fontId="36" fillId="25" borderId="16" xfId="42" applyFont="1" applyFill="1" applyBorder="1" applyAlignment="1">
      <alignment vertical="top" wrapText="1"/>
    </xf>
    <xf numFmtId="4" fontId="33" fillId="25" borderId="53" xfId="42" applyNumberFormat="1" applyFont="1" applyFill="1" applyBorder="1" applyAlignment="1">
      <alignment horizontal="center"/>
    </xf>
    <xf numFmtId="0" fontId="32" fillId="25" borderId="25" xfId="44" applyFont="1" applyFill="1" applyBorder="1"/>
    <xf numFmtId="49" fontId="28" fillId="25" borderId="25" xfId="42" applyNumberFormat="1" applyFont="1" applyFill="1" applyBorder="1" applyAlignment="1"/>
    <xf numFmtId="49" fontId="28" fillId="25" borderId="16" xfId="42" applyNumberFormat="1" applyFont="1" applyFill="1" applyBorder="1" applyAlignment="1">
      <alignment vertical="top" wrapText="1"/>
    </xf>
    <xf numFmtId="49" fontId="32" fillId="25" borderId="16" xfId="42" applyNumberFormat="1" applyFont="1" applyFill="1" applyBorder="1" applyAlignment="1">
      <alignment horizontal="left" vertical="top" wrapText="1"/>
    </xf>
    <xf numFmtId="49" fontId="28" fillId="25" borderId="25" xfId="42" applyNumberFormat="1" applyFont="1" applyFill="1" applyBorder="1" applyAlignment="1">
      <alignment horizontal="left" vertical="top"/>
    </xf>
    <xf numFmtId="0" fontId="32" fillId="25" borderId="16" xfId="42" applyFont="1" applyFill="1" applyBorder="1" applyAlignment="1">
      <alignment vertical="top" wrapText="1"/>
    </xf>
    <xf numFmtId="0" fontId="32" fillId="25" borderId="25" xfId="42" applyFont="1" applyFill="1" applyBorder="1"/>
    <xf numFmtId="0" fontId="32" fillId="25" borderId="16" xfId="44" applyFont="1" applyFill="1" applyBorder="1" applyAlignment="1">
      <alignment vertical="top" wrapText="1"/>
    </xf>
    <xf numFmtId="49" fontId="28" fillId="25" borderId="25" xfId="42" applyNumberFormat="1" applyFont="1" applyFill="1" applyBorder="1" applyAlignment="1">
      <alignment horizontal="center"/>
    </xf>
    <xf numFmtId="0" fontId="32" fillId="25" borderId="52" xfId="44" applyFont="1" applyFill="1" applyBorder="1" applyAlignment="1">
      <alignment horizontal="left"/>
    </xf>
    <xf numFmtId="0" fontId="28" fillId="25" borderId="25" xfId="42" applyFont="1" applyFill="1" applyBorder="1" applyAlignment="1">
      <alignment horizontal="left" vertical="center"/>
    </xf>
    <xf numFmtId="49" fontId="28" fillId="25" borderId="25" xfId="42" quotePrefix="1" applyNumberFormat="1" applyFont="1" applyFill="1" applyBorder="1" applyAlignment="1">
      <alignment horizontal="left" vertical="top"/>
    </xf>
    <xf numFmtId="0" fontId="28" fillId="25" borderId="25" xfId="44" applyFont="1" applyFill="1" applyBorder="1" applyAlignment="1"/>
    <xf numFmtId="0" fontId="28" fillId="25" borderId="52" xfId="42" applyFont="1" applyFill="1" applyBorder="1" applyAlignment="1">
      <alignment horizontal="left"/>
    </xf>
    <xf numFmtId="49" fontId="28" fillId="25" borderId="25" xfId="42" applyNumberFormat="1" applyFont="1" applyFill="1" applyBorder="1" applyAlignment="1">
      <alignment vertical="top"/>
    </xf>
    <xf numFmtId="0" fontId="32" fillId="25" borderId="25" xfId="42" applyFont="1" applyFill="1" applyBorder="1" applyAlignment="1">
      <alignment horizontal="left" indent="2"/>
    </xf>
    <xf numFmtId="0" fontId="32" fillId="25" borderId="25" xfId="44" applyFont="1" applyFill="1" applyBorder="1" applyAlignment="1">
      <alignment horizontal="left" indent="3"/>
    </xf>
    <xf numFmtId="0" fontId="28" fillId="25" borderId="43" xfId="42" applyFont="1" applyFill="1" applyBorder="1" applyAlignment="1"/>
    <xf numFmtId="0" fontId="28" fillId="25" borderId="18" xfId="42" applyFont="1" applyFill="1" applyBorder="1" applyAlignment="1"/>
    <xf numFmtId="49" fontId="38" fillId="25" borderId="34" xfId="42" applyNumberFormat="1" applyFont="1" applyFill="1" applyBorder="1" applyAlignment="1">
      <alignment horizontal="left" vertical="top"/>
    </xf>
    <xf numFmtId="0" fontId="32" fillId="25" borderId="52" xfId="44" quotePrefix="1" applyFont="1" applyFill="1" applyBorder="1" applyAlignment="1">
      <alignment horizontal="left"/>
    </xf>
    <xf numFmtId="0" fontId="32" fillId="25" borderId="25" xfId="42" applyFont="1" applyFill="1" applyBorder="1" applyAlignment="1"/>
    <xf numFmtId="49" fontId="28" fillId="25" borderId="25" xfId="42" applyNumberFormat="1" applyFont="1" applyFill="1" applyBorder="1" applyAlignment="1">
      <alignment horizontal="left"/>
    </xf>
    <xf numFmtId="49" fontId="32" fillId="25" borderId="25" xfId="42" applyNumberFormat="1" applyFont="1" applyFill="1" applyBorder="1" applyAlignment="1">
      <alignment horizontal="left" vertical="top"/>
    </xf>
    <xf numFmtId="0" fontId="32" fillId="25" borderId="16" xfId="42" applyFont="1" applyFill="1" applyBorder="1" applyAlignment="1"/>
    <xf numFmtId="0" fontId="38" fillId="25" borderId="25" xfId="42" applyFont="1" applyFill="1" applyBorder="1" applyAlignment="1"/>
    <xf numFmtId="0" fontId="32" fillId="25" borderId="52" xfId="42" applyFont="1" applyFill="1" applyBorder="1" applyAlignment="1">
      <alignment horizontal="left"/>
    </xf>
    <xf numFmtId="0" fontId="39" fillId="25" borderId="25" xfId="44" applyFont="1" applyFill="1" applyBorder="1" applyAlignment="1">
      <alignment horizontal="left" indent="2"/>
    </xf>
    <xf numFmtId="0" fontId="39" fillId="25" borderId="16" xfId="44" applyFont="1" applyFill="1" applyBorder="1" applyAlignment="1">
      <alignment horizontal="left" vertical="top" wrapText="1"/>
    </xf>
    <xf numFmtId="0" fontId="32" fillId="25" borderId="25" xfId="42" applyFont="1" applyFill="1" applyBorder="1" applyAlignment="1">
      <alignment horizontal="left"/>
    </xf>
    <xf numFmtId="0" fontId="32" fillId="25" borderId="16" xfId="42" applyFont="1" applyFill="1" applyBorder="1" applyAlignment="1">
      <alignment horizontal="center" vertical="top" wrapText="1"/>
    </xf>
    <xf numFmtId="0" fontId="32" fillId="25" borderId="25" xfId="44" applyFont="1" applyFill="1" applyBorder="1" applyAlignment="1">
      <alignment horizontal="left" indent="4"/>
    </xf>
    <xf numFmtId="49" fontId="37" fillId="25" borderId="25" xfId="42" applyNumberFormat="1" applyFont="1" applyFill="1" applyBorder="1" applyAlignment="1">
      <alignment horizontal="left" vertical="top"/>
    </xf>
    <xf numFmtId="4" fontId="33" fillId="25" borderId="52" xfId="42" applyNumberFormat="1" applyFont="1" applyFill="1" applyBorder="1" applyAlignment="1">
      <alignment horizontal="center"/>
    </xf>
    <xf numFmtId="49" fontId="32" fillId="25" borderId="25" xfId="42" applyNumberFormat="1" applyFont="1" applyFill="1" applyBorder="1" applyAlignment="1"/>
    <xf numFmtId="0" fontId="39" fillId="25" borderId="25" xfId="44" applyFont="1" applyFill="1" applyBorder="1" applyAlignment="1">
      <alignment horizontal="left" indent="4"/>
    </xf>
    <xf numFmtId="49" fontId="40" fillId="25" borderId="25" xfId="42" applyNumberFormat="1" applyFont="1" applyFill="1" applyBorder="1" applyAlignment="1"/>
    <xf numFmtId="49" fontId="28" fillId="25" borderId="16" xfId="42" applyNumberFormat="1" applyFont="1" applyFill="1" applyBorder="1" applyAlignment="1"/>
    <xf numFmtId="49" fontId="37" fillId="25" borderId="25" xfId="42" applyNumberFormat="1" applyFont="1" applyFill="1" applyBorder="1" applyAlignment="1"/>
    <xf numFmtId="16" fontId="32" fillId="25" borderId="52" xfId="44" quotePrefix="1" applyNumberFormat="1" applyFont="1" applyFill="1" applyBorder="1" applyAlignment="1">
      <alignment horizontal="left"/>
    </xf>
    <xf numFmtId="0" fontId="39" fillId="25" borderId="25" xfId="42" applyFont="1" applyFill="1" applyBorder="1" applyAlignment="1">
      <alignment horizontal="center"/>
    </xf>
    <xf numFmtId="0" fontId="28" fillId="25" borderId="16" xfId="42" applyFont="1" applyFill="1" applyBorder="1"/>
    <xf numFmtId="0" fontId="32" fillId="25" borderId="25" xfId="44" applyFont="1" applyFill="1" applyBorder="1" applyAlignment="1">
      <alignment wrapText="1"/>
    </xf>
    <xf numFmtId="49" fontId="39" fillId="25" borderId="25" xfId="42" applyNumberFormat="1" applyFont="1" applyFill="1" applyBorder="1" applyAlignment="1"/>
    <xf numFmtId="0" fontId="28" fillId="25" borderId="16" xfId="42" quotePrefix="1" applyFont="1" applyFill="1" applyBorder="1" applyAlignment="1">
      <alignment horizontal="left" vertical="top" wrapText="1"/>
    </xf>
    <xf numFmtId="49" fontId="28" fillId="25" borderId="16" xfId="42" applyNumberFormat="1" applyFont="1" applyFill="1" applyBorder="1" applyAlignment="1">
      <alignment horizontal="left"/>
    </xf>
    <xf numFmtId="0" fontId="37" fillId="25" borderId="25" xfId="42" applyFont="1" applyFill="1" applyBorder="1" applyAlignment="1"/>
    <xf numFmtId="49" fontId="32" fillId="25" borderId="25" xfId="42" applyNumberFormat="1" applyFont="1" applyFill="1" applyBorder="1" applyAlignment="1">
      <alignment horizontal="left"/>
    </xf>
    <xf numFmtId="0" fontId="39" fillId="25" borderId="25" xfId="42" applyFont="1" applyFill="1" applyBorder="1" applyAlignment="1">
      <alignment horizontal="left"/>
    </xf>
    <xf numFmtId="0" fontId="28" fillId="25" borderId="16" xfId="42" applyFont="1" applyFill="1" applyBorder="1" applyAlignment="1">
      <alignment horizontal="left"/>
    </xf>
    <xf numFmtId="49" fontId="38" fillId="25" borderId="25" xfId="42" applyNumberFormat="1" applyFont="1" applyFill="1" applyBorder="1" applyAlignment="1">
      <alignment horizontal="left" vertical="top"/>
    </xf>
    <xf numFmtId="4" fontId="6" fillId="25" borderId="33" xfId="44" applyNumberFormat="1" applyFont="1" applyFill="1" applyBorder="1" applyAlignment="1">
      <alignment horizontal="right" vertical="center"/>
    </xf>
    <xf numFmtId="0" fontId="32" fillId="25" borderId="52" xfId="0" applyFont="1" applyFill="1" applyBorder="1" applyAlignment="1">
      <alignment horizontal="left"/>
    </xf>
    <xf numFmtId="0" fontId="37" fillId="25" borderId="25" xfId="44" applyFont="1" applyFill="1" applyBorder="1" applyAlignment="1">
      <alignment horizontal="left"/>
    </xf>
    <xf numFmtId="0" fontId="32" fillId="25" borderId="25" xfId="42" quotePrefix="1" applyFont="1" applyFill="1" applyBorder="1" applyAlignment="1">
      <alignment horizontal="left"/>
    </xf>
    <xf numFmtId="0" fontId="32" fillId="25" borderId="16" xfId="42" quotePrefix="1" applyFont="1" applyFill="1" applyBorder="1" applyAlignment="1">
      <alignment horizontal="left" vertical="top" wrapText="1"/>
    </xf>
    <xf numFmtId="0" fontId="32" fillId="25" borderId="25" xfId="44" applyFont="1" applyFill="1" applyBorder="1" applyAlignment="1">
      <alignment horizontal="left" indent="6"/>
    </xf>
    <xf numFmtId="0" fontId="39" fillId="25" borderId="25" xfId="42" applyFont="1" applyFill="1" applyBorder="1" applyAlignment="1"/>
    <xf numFmtId="0" fontId="32" fillId="25" borderId="55" xfId="42" applyFont="1" applyFill="1" applyBorder="1" applyAlignment="1"/>
    <xf numFmtId="0" fontId="32" fillId="25" borderId="18" xfId="42" applyFont="1" applyFill="1" applyBorder="1" applyAlignment="1"/>
    <xf numFmtId="0" fontId="32" fillId="25" borderId="52" xfId="42" applyNumberFormat="1" applyFont="1" applyFill="1" applyBorder="1" applyAlignment="1">
      <alignment horizontal="left"/>
    </xf>
    <xf numFmtId="0" fontId="32" fillId="25" borderId="52" xfId="44" applyFont="1" applyFill="1" applyBorder="1" applyAlignment="1">
      <alignment horizontal="left" vertical="center"/>
    </xf>
    <xf numFmtId="0" fontId="40" fillId="25" borderId="16" xfId="42" applyFont="1" applyFill="1" applyBorder="1" applyAlignment="1">
      <alignment horizontal="left" vertical="top" wrapText="1"/>
    </xf>
    <xf numFmtId="0" fontId="32" fillId="25" borderId="0" xfId="42" applyFont="1" applyFill="1" applyBorder="1"/>
    <xf numFmtId="0" fontId="32" fillId="25" borderId="44" xfId="42" applyFont="1" applyFill="1" applyBorder="1"/>
    <xf numFmtId="0" fontId="40" fillId="25" borderId="25" xfId="44" applyFont="1" applyFill="1" applyBorder="1" applyAlignment="1">
      <alignment horizontal="left" indent="2"/>
    </xf>
    <xf numFmtId="0" fontId="40" fillId="25" borderId="16" xfId="44" applyFont="1" applyFill="1" applyBorder="1" applyAlignment="1">
      <alignment horizontal="left" vertical="top" wrapText="1"/>
    </xf>
    <xf numFmtId="0" fontId="32" fillId="25" borderId="25" xfId="42" applyFont="1" applyFill="1" applyBorder="1" applyAlignment="1">
      <alignment horizontal="left" vertical="top"/>
    </xf>
    <xf numFmtId="0" fontId="32" fillId="25" borderId="43" xfId="42" applyFont="1" applyFill="1" applyBorder="1"/>
    <xf numFmtId="0" fontId="28" fillId="25" borderId="0" xfId="42" applyFont="1" applyFill="1" applyBorder="1"/>
    <xf numFmtId="0" fontId="28" fillId="25" borderId="25" xfId="44" applyFont="1" applyFill="1" applyBorder="1" applyAlignment="1">
      <alignment horizontal="left" indent="2"/>
    </xf>
    <xf numFmtId="0" fontId="32" fillId="25" borderId="55" xfId="44" applyFont="1" applyFill="1" applyBorder="1"/>
    <xf numFmtId="0" fontId="37" fillId="25" borderId="55" xfId="42" applyFont="1" applyFill="1" applyBorder="1" applyAlignment="1"/>
    <xf numFmtId="4" fontId="6" fillId="25" borderId="41" xfId="44" applyNumberFormat="1" applyFont="1" applyFill="1" applyBorder="1" applyAlignment="1">
      <alignment horizontal="right"/>
    </xf>
    <xf numFmtId="0" fontId="28" fillId="25" borderId="46" xfId="44" applyFont="1" applyFill="1" applyBorder="1" applyAlignment="1">
      <alignment horizontal="left" vertical="top" wrapText="1"/>
    </xf>
    <xf numFmtId="0" fontId="34" fillId="25" borderId="14" xfId="42" applyFont="1" applyFill="1" applyBorder="1" applyAlignment="1">
      <alignment horizontal="center" vertical="top" wrapText="1"/>
    </xf>
    <xf numFmtId="0" fontId="28" fillId="25" borderId="56" xfId="44" quotePrefix="1" applyFont="1" applyFill="1" applyBorder="1" applyAlignment="1">
      <alignment horizontal="left"/>
    </xf>
    <xf numFmtId="0" fontId="32" fillId="25" borderId="52" xfId="44" quotePrefix="1" applyFont="1" applyFill="1" applyBorder="1" applyAlignment="1"/>
    <xf numFmtId="0" fontId="32" fillId="25" borderId="25" xfId="44" applyFont="1" applyFill="1" applyBorder="1" applyAlignment="1">
      <alignment vertical="top"/>
    </xf>
    <xf numFmtId="49" fontId="32" fillId="25" borderId="52" xfId="44" applyNumberFormat="1" applyFont="1" applyFill="1" applyBorder="1" applyAlignment="1">
      <alignment horizontal="left"/>
    </xf>
    <xf numFmtId="0" fontId="32" fillId="25" borderId="52" xfId="44" applyFont="1" applyFill="1" applyBorder="1" applyAlignment="1"/>
    <xf numFmtId="0" fontId="35" fillId="25" borderId="16" xfId="42" applyFont="1" applyFill="1" applyBorder="1" applyAlignment="1">
      <alignment vertical="top" wrapText="1"/>
    </xf>
    <xf numFmtId="14" fontId="32" fillId="25" borderId="52" xfId="44" quotePrefix="1" applyNumberFormat="1" applyFont="1" applyFill="1" applyBorder="1" applyAlignment="1">
      <alignment horizontal="left"/>
    </xf>
    <xf numFmtId="3" fontId="32" fillId="25" borderId="25" xfId="42" applyNumberFormat="1" applyFont="1" applyFill="1" applyBorder="1"/>
    <xf numFmtId="16" fontId="32" fillId="25" borderId="52" xfId="44" applyNumberFormat="1" applyFont="1" applyFill="1" applyBorder="1" applyAlignment="1">
      <alignment horizontal="left"/>
    </xf>
    <xf numFmtId="14" fontId="32" fillId="25" borderId="52" xfId="44" applyNumberFormat="1" applyFont="1" applyFill="1" applyBorder="1" applyAlignment="1">
      <alignment horizontal="left"/>
    </xf>
    <xf numFmtId="3" fontId="32" fillId="25" borderId="52" xfId="44" applyNumberFormat="1" applyFont="1" applyFill="1" applyBorder="1" applyAlignment="1">
      <alignment horizontal="left"/>
    </xf>
    <xf numFmtId="0" fontId="32" fillId="25" borderId="43" xfId="42" applyFont="1" applyFill="1" applyBorder="1" applyAlignment="1">
      <alignment horizontal="left" wrapText="1"/>
    </xf>
    <xf numFmtId="0" fontId="32" fillId="25" borderId="14" xfId="42" applyFont="1" applyFill="1" applyBorder="1" applyAlignment="1">
      <alignment horizontal="left" wrapText="1"/>
    </xf>
    <xf numFmtId="0" fontId="28" fillId="25" borderId="14" xfId="42" applyFont="1" applyFill="1" applyBorder="1"/>
    <xf numFmtId="49" fontId="38" fillId="25" borderId="16" xfId="42" applyNumberFormat="1" applyFont="1" applyFill="1" applyBorder="1" applyAlignment="1">
      <alignment horizontal="left" vertical="top" wrapText="1"/>
    </xf>
    <xf numFmtId="4" fontId="33" fillId="25" borderId="26" xfId="44" applyNumberFormat="1" applyFont="1" applyFill="1" applyBorder="1" applyAlignment="1">
      <alignment horizontal="right"/>
    </xf>
    <xf numFmtId="4" fontId="6" fillId="25" borderId="40" xfId="44" applyNumberFormat="1" applyFont="1" applyFill="1" applyBorder="1" applyAlignment="1">
      <alignment horizontal="right"/>
    </xf>
    <xf numFmtId="0" fontId="32" fillId="25" borderId="50" xfId="44" applyFont="1" applyFill="1" applyBorder="1" applyAlignment="1">
      <alignment horizontal="left" wrapText="1"/>
    </xf>
    <xf numFmtId="0" fontId="32" fillId="25" borderId="10" xfId="44" applyFont="1" applyFill="1" applyBorder="1" applyAlignment="1">
      <alignment horizontal="left" wrapText="1"/>
    </xf>
    <xf numFmtId="3" fontId="32" fillId="25" borderId="56" xfId="44" applyNumberFormat="1" applyFont="1" applyFill="1" applyBorder="1" applyAlignment="1">
      <alignment horizontal="left"/>
    </xf>
    <xf numFmtId="0" fontId="32" fillId="25" borderId="34" xfId="42" applyFont="1" applyFill="1" applyBorder="1" applyAlignment="1"/>
    <xf numFmtId="0" fontId="32" fillId="25" borderId="14" xfId="44" applyFont="1" applyFill="1" applyBorder="1" applyAlignment="1">
      <alignment vertical="top" wrapText="1"/>
    </xf>
    <xf numFmtId="0" fontId="32" fillId="25" borderId="58" xfId="0" applyFont="1" applyFill="1" applyBorder="1"/>
    <xf numFmtId="0" fontId="32" fillId="25" borderId="34" xfId="44" applyFont="1" applyFill="1" applyBorder="1"/>
    <xf numFmtId="0" fontId="39" fillId="25" borderId="55" xfId="44" applyFont="1" applyFill="1" applyBorder="1" applyAlignment="1">
      <alignment horizontal="left" indent="2"/>
    </xf>
    <xf numFmtId="0" fontId="32" fillId="25" borderId="60" xfId="44" applyFont="1" applyFill="1" applyBorder="1" applyAlignment="1">
      <alignment horizontal="left" indent="3"/>
    </xf>
    <xf numFmtId="0" fontId="32" fillId="25" borderId="61" xfId="44" applyFont="1" applyFill="1" applyBorder="1" applyAlignment="1">
      <alignment horizontal="left" vertical="top" wrapText="1"/>
    </xf>
    <xf numFmtId="0" fontId="32" fillId="25" borderId="41" xfId="44" applyFont="1" applyFill="1" applyBorder="1" applyAlignment="1">
      <alignment horizontal="left"/>
    </xf>
    <xf numFmtId="0" fontId="28" fillId="25" borderId="0" xfId="44" applyFont="1" applyFill="1" applyBorder="1"/>
    <xf numFmtId="0" fontId="28" fillId="25" borderId="0" xfId="44" applyFont="1" applyFill="1" applyAlignment="1">
      <alignment vertical="top" wrapText="1"/>
    </xf>
    <xf numFmtId="0" fontId="32" fillId="25" borderId="0" xfId="44" applyFont="1" applyFill="1" applyAlignment="1">
      <alignment horizontal="left" vertical="center"/>
    </xf>
    <xf numFmtId="0" fontId="32" fillId="25" borderId="0" xfId="47" applyFont="1" applyFill="1" applyBorder="1" applyAlignment="1">
      <alignment vertical="center"/>
    </xf>
    <xf numFmtId="0" fontId="32" fillId="25" borderId="0" xfId="47" applyFont="1" applyFill="1" applyAlignment="1">
      <alignment vertical="top" wrapText="1"/>
    </xf>
    <xf numFmtId="0" fontId="28" fillId="25" borderId="0" xfId="44" applyFont="1" applyFill="1" applyAlignment="1">
      <alignment horizontal="left" vertical="center"/>
    </xf>
    <xf numFmtId="0" fontId="28" fillId="25" borderId="0" xfId="47" applyFont="1" applyFill="1" applyAlignment="1">
      <alignment horizontal="center" vertical="center" wrapText="1"/>
    </xf>
    <xf numFmtId="0" fontId="32" fillId="25" borderId="0" xfId="42" applyFont="1" applyFill="1"/>
    <xf numFmtId="0" fontId="28" fillId="25" borderId="0" xfId="44" applyFont="1" applyFill="1" applyAlignment="1">
      <alignment horizontal="center" vertical="center" wrapText="1"/>
    </xf>
    <xf numFmtId="0" fontId="28" fillId="25" borderId="0" xfId="44" applyFont="1" applyFill="1" applyBorder="1" applyAlignment="1">
      <alignment horizontal="left" vertical="top"/>
    </xf>
    <xf numFmtId="0" fontId="32" fillId="25" borderId="0" xfId="44" applyFont="1" applyFill="1" applyBorder="1" applyAlignment="1">
      <alignment horizontal="left" vertical="center"/>
    </xf>
    <xf numFmtId="0" fontId="28" fillId="25" borderId="0" xfId="42" applyFont="1" applyFill="1" applyAlignment="1">
      <alignment horizontal="center" vertical="center"/>
    </xf>
    <xf numFmtId="0" fontId="2" fillId="25" borderId="45" xfId="42" applyFont="1" applyFill="1" applyBorder="1" applyAlignment="1">
      <alignment horizontal="center"/>
    </xf>
    <xf numFmtId="0" fontId="28" fillId="25" borderId="62" xfId="44" applyFont="1" applyFill="1" applyBorder="1" applyAlignment="1">
      <alignment horizontal="center" vertical="center" wrapText="1"/>
    </xf>
    <xf numFmtId="0" fontId="28" fillId="25" borderId="40" xfId="44" applyFont="1" applyFill="1" applyBorder="1" applyAlignment="1">
      <alignment horizontal="center" vertical="top" wrapText="1"/>
    </xf>
    <xf numFmtId="0" fontId="28" fillId="25" borderId="14" xfId="42" applyFont="1" applyFill="1" applyBorder="1" applyAlignment="1">
      <alignment horizontal="center" vertical="top" wrapText="1"/>
    </xf>
    <xf numFmtId="4" fontId="6" fillId="25" borderId="59" xfId="44" applyNumberFormat="1" applyFont="1" applyFill="1" applyBorder="1" applyAlignment="1">
      <alignment horizontal="center"/>
    </xf>
    <xf numFmtId="0" fontId="28" fillId="25" borderId="52" xfId="44" quotePrefix="1" applyFont="1" applyFill="1" applyBorder="1" applyAlignment="1"/>
    <xf numFmtId="49" fontId="28" fillId="25" borderId="52" xfId="44" applyNumberFormat="1" applyFont="1" applyFill="1" applyBorder="1" applyAlignment="1">
      <alignment horizontal="left"/>
    </xf>
    <xf numFmtId="0" fontId="28" fillId="25" borderId="25" xfId="44" applyFont="1" applyFill="1" applyBorder="1" applyAlignment="1">
      <alignment vertical="top"/>
    </xf>
    <xf numFmtId="4" fontId="6" fillId="25" borderId="26" xfId="42" applyNumberFormat="1" applyFont="1" applyFill="1" applyBorder="1" applyAlignment="1">
      <alignment horizontal="right"/>
    </xf>
    <xf numFmtId="0" fontId="28" fillId="25" borderId="25" xfId="44" applyFont="1" applyFill="1" applyBorder="1"/>
    <xf numFmtId="14" fontId="28" fillId="25" borderId="52" xfId="44" quotePrefix="1" applyNumberFormat="1" applyFont="1" applyFill="1" applyBorder="1" applyAlignment="1">
      <alignment horizontal="left"/>
    </xf>
    <xf numFmtId="16" fontId="28" fillId="25" borderId="52" xfId="44" applyNumberFormat="1" applyFont="1" applyFill="1" applyBorder="1" applyAlignment="1">
      <alignment horizontal="left"/>
    </xf>
    <xf numFmtId="0" fontId="28" fillId="25" borderId="50" xfId="42" applyFont="1" applyFill="1" applyBorder="1"/>
    <xf numFmtId="0" fontId="28" fillId="25" borderId="10" xfId="44" applyFont="1" applyFill="1" applyBorder="1" applyAlignment="1">
      <alignment vertical="top" wrapText="1"/>
    </xf>
    <xf numFmtId="0" fontId="28" fillId="25" borderId="56" xfId="44" applyFont="1" applyFill="1" applyBorder="1" applyAlignment="1">
      <alignment horizontal="left"/>
    </xf>
    <xf numFmtId="3" fontId="28" fillId="25" borderId="48" xfId="42" applyNumberFormat="1" applyFont="1" applyFill="1" applyBorder="1"/>
    <xf numFmtId="0" fontId="28" fillId="25" borderId="54" xfId="44" applyFont="1" applyFill="1" applyBorder="1" applyAlignment="1">
      <alignment horizontal="left"/>
    </xf>
    <xf numFmtId="4" fontId="6" fillId="25" borderId="54" xfId="44" applyNumberFormat="1" applyFont="1" applyFill="1" applyBorder="1" applyAlignment="1">
      <alignment horizontal="center"/>
    </xf>
    <xf numFmtId="4" fontId="6" fillId="25" borderId="52" xfId="42" applyNumberFormat="1" applyFont="1" applyFill="1" applyBorder="1" applyAlignment="1">
      <alignment horizontal="center"/>
    </xf>
    <xf numFmtId="4" fontId="6" fillId="25" borderId="52" xfId="44" applyNumberFormat="1" applyFont="1" applyFill="1" applyBorder="1" applyAlignment="1">
      <alignment horizontal="center"/>
    </xf>
    <xf numFmtId="14" fontId="28" fillId="25" borderId="52" xfId="44" applyNumberFormat="1" applyFont="1" applyFill="1" applyBorder="1" applyAlignment="1">
      <alignment horizontal="left"/>
    </xf>
    <xf numFmtId="0" fontId="28" fillId="25" borderId="25" xfId="44" applyFont="1" applyFill="1" applyBorder="1" applyAlignment="1">
      <alignment horizontal="left" wrapText="1"/>
    </xf>
    <xf numFmtId="3" fontId="28" fillId="25" borderId="52" xfId="44" applyNumberFormat="1" applyFont="1" applyFill="1" applyBorder="1" applyAlignment="1">
      <alignment horizontal="left"/>
    </xf>
    <xf numFmtId="4" fontId="6" fillId="25" borderId="53" xfId="42" applyNumberFormat="1" applyFont="1" applyFill="1" applyBorder="1" applyAlignment="1">
      <alignment horizontal="center"/>
    </xf>
    <xf numFmtId="4" fontId="6" fillId="25" borderId="53" xfId="42" applyNumberFormat="1" applyFont="1" applyFill="1" applyBorder="1" applyAlignment="1">
      <alignment horizontal="right"/>
    </xf>
    <xf numFmtId="4" fontId="6" fillId="25" borderId="59" xfId="44" applyNumberFormat="1" applyFont="1" applyFill="1" applyBorder="1" applyAlignment="1">
      <alignment horizontal="right"/>
    </xf>
    <xf numFmtId="4" fontId="6" fillId="25" borderId="52" xfId="42" applyNumberFormat="1" applyFont="1" applyFill="1" applyBorder="1" applyAlignment="1">
      <alignment horizontal="right"/>
    </xf>
    <xf numFmtId="0" fontId="28" fillId="25" borderId="27" xfId="42" applyFont="1" applyFill="1" applyBorder="1" applyAlignment="1">
      <alignment horizontal="left" wrapText="1"/>
    </xf>
    <xf numFmtId="0" fontId="28" fillId="25" borderId="41" xfId="44" applyFont="1" applyFill="1" applyBorder="1" applyAlignment="1">
      <alignment horizontal="left"/>
    </xf>
    <xf numFmtId="4" fontId="6" fillId="25" borderId="41" xfId="44" applyNumberFormat="1" applyFont="1" applyFill="1" applyBorder="1" applyAlignment="1">
      <alignment horizontal="center"/>
    </xf>
    <xf numFmtId="0" fontId="32" fillId="25" borderId="60" xfId="42" applyFont="1" applyFill="1" applyBorder="1"/>
    <xf numFmtId="0" fontId="28" fillId="25" borderId="63" xfId="42" applyFont="1" applyFill="1" applyBorder="1"/>
    <xf numFmtId="0" fontId="28" fillId="25" borderId="47" xfId="44" applyFont="1" applyFill="1" applyBorder="1" applyAlignment="1">
      <alignment horizontal="left"/>
    </xf>
    <xf numFmtId="4" fontId="6" fillId="25" borderId="39" xfId="44" applyNumberFormat="1" applyFont="1" applyFill="1" applyBorder="1" applyAlignment="1">
      <alignment horizontal="right"/>
    </xf>
    <xf numFmtId="0" fontId="28" fillId="25" borderId="51" xfId="44" quotePrefix="1" applyFont="1" applyFill="1" applyBorder="1" applyAlignment="1">
      <alignment horizontal="left"/>
    </xf>
    <xf numFmtId="0" fontId="28" fillId="25" borderId="43" xfId="0" applyFont="1" applyFill="1" applyBorder="1"/>
    <xf numFmtId="4" fontId="33" fillId="25" borderId="52" xfId="44" applyNumberFormat="1" applyFont="1" applyFill="1" applyBorder="1" applyAlignment="1">
      <alignment horizontal="center"/>
    </xf>
    <xf numFmtId="4" fontId="33" fillId="25" borderId="52" xfId="44" applyNumberFormat="1" applyFont="1" applyFill="1" applyBorder="1" applyAlignment="1">
      <alignment horizontal="right"/>
    </xf>
    <xf numFmtId="4" fontId="33" fillId="25" borderId="53" xfId="42" applyNumberFormat="1" applyFont="1" applyFill="1" applyBorder="1" applyAlignment="1">
      <alignment horizontal="right"/>
    </xf>
    <xf numFmtId="4" fontId="33" fillId="25" borderId="52" xfId="42" applyNumberFormat="1" applyFont="1" applyFill="1" applyBorder="1" applyAlignment="1">
      <alignment horizontal="right"/>
    </xf>
    <xf numFmtId="4" fontId="6" fillId="25" borderId="52" xfId="44" applyNumberFormat="1" applyFont="1" applyFill="1" applyBorder="1" applyAlignment="1">
      <alignment horizontal="right"/>
    </xf>
    <xf numFmtId="0" fontId="32" fillId="25" borderId="25" xfId="44" applyFont="1" applyFill="1" applyBorder="1" applyAlignment="1">
      <alignment vertical="center"/>
    </xf>
    <xf numFmtId="0" fontId="32" fillId="25" borderId="16" xfId="44" applyFont="1" applyFill="1" applyBorder="1" applyAlignment="1">
      <alignment vertical="center" wrapText="1"/>
    </xf>
    <xf numFmtId="0" fontId="32" fillId="25" borderId="52" xfId="44" quotePrefix="1" applyFont="1" applyFill="1" applyBorder="1" applyAlignment="1">
      <alignment horizontal="left" vertical="center"/>
    </xf>
    <xf numFmtId="4" fontId="33" fillId="25" borderId="52" xfId="42" applyNumberFormat="1" applyFont="1" applyFill="1" applyBorder="1" applyAlignment="1">
      <alignment horizontal="center" vertical="center"/>
    </xf>
    <xf numFmtId="0" fontId="32" fillId="25" borderId="25" xfId="42" applyFont="1" applyFill="1" applyBorder="1" applyAlignment="1">
      <alignment horizontal="left" vertical="center"/>
    </xf>
    <xf numFmtId="0" fontId="28" fillId="25" borderId="55" xfId="42" applyFont="1" applyFill="1" applyBorder="1" applyAlignment="1"/>
    <xf numFmtId="4" fontId="33" fillId="25" borderId="52" xfId="44" applyNumberFormat="1" applyFont="1" applyFill="1" applyBorder="1" applyAlignment="1">
      <alignment horizontal="center" vertical="center"/>
    </xf>
    <xf numFmtId="0" fontId="32" fillId="25" borderId="10" xfId="44" applyFont="1" applyFill="1" applyBorder="1" applyAlignment="1">
      <alignment horizontal="left" vertical="top" wrapText="1"/>
    </xf>
    <xf numFmtId="0" fontId="32" fillId="25" borderId="56" xfId="44" applyFont="1" applyFill="1" applyBorder="1" applyAlignment="1">
      <alignment horizontal="left"/>
    </xf>
    <xf numFmtId="4" fontId="33" fillId="25" borderId="41" xfId="44" applyNumberFormat="1" applyFont="1" applyFill="1" applyBorder="1" applyAlignment="1">
      <alignment horizontal="center"/>
    </xf>
    <xf numFmtId="0" fontId="32" fillId="25" borderId="21" xfId="44" applyFont="1" applyFill="1" applyBorder="1" applyAlignment="1">
      <alignment horizontal="left" indent="3"/>
    </xf>
    <xf numFmtId="4" fontId="6" fillId="25" borderId="28" xfId="44" applyNumberFormat="1" applyFont="1" applyFill="1" applyBorder="1" applyAlignment="1">
      <alignment horizontal="right"/>
    </xf>
    <xf numFmtId="0" fontId="32" fillId="25" borderId="25" xfId="42" applyFont="1" applyFill="1" applyBorder="1" applyAlignment="1">
      <alignment vertical="center"/>
    </xf>
    <xf numFmtId="0" fontId="28" fillId="25" borderId="50" xfId="42" applyFont="1" applyFill="1" applyBorder="1" applyAlignment="1">
      <alignment horizontal="left"/>
    </xf>
    <xf numFmtId="0" fontId="32" fillId="25" borderId="25" xfId="44" applyFont="1" applyFill="1" applyBorder="1" applyAlignment="1"/>
    <xf numFmtId="4" fontId="33" fillId="25" borderId="33" xfId="44" applyNumberFormat="1" applyFont="1" applyFill="1" applyBorder="1" applyAlignment="1">
      <alignment horizontal="right"/>
    </xf>
    <xf numFmtId="0" fontId="32" fillId="25" borderId="25" xfId="44" applyFont="1" applyFill="1" applyBorder="1" applyAlignment="1">
      <alignment horizontal="left" indent="2"/>
    </xf>
    <xf numFmtId="0" fontId="32" fillId="0" borderId="52" xfId="44" applyFont="1" applyFill="1" applyBorder="1" applyAlignment="1">
      <alignment horizontal="left"/>
    </xf>
    <xf numFmtId="0" fontId="5" fillId="0" borderId="0" xfId="43" applyFont="1" applyFill="1" applyBorder="1" applyAlignment="1"/>
    <xf numFmtId="0" fontId="32" fillId="25" borderId="0" xfId="40" applyFont="1" applyFill="1" applyAlignment="1">
      <alignment horizontal="right" vertical="center"/>
    </xf>
    <xf numFmtId="0" fontId="4" fillId="25" borderId="0" xfId="44" applyFont="1" applyFill="1" applyAlignment="1">
      <alignment horizontal="right" vertical="top" wrapText="1"/>
    </xf>
    <xf numFmtId="0" fontId="28" fillId="25" borderId="52" xfId="44" applyFont="1" applyFill="1" applyBorder="1" applyAlignment="1">
      <alignment horizontal="left" vertical="center"/>
    </xf>
    <xf numFmtId="0" fontId="28" fillId="0" borderId="0" xfId="46" applyFont="1" applyFill="1" applyAlignment="1">
      <alignment horizontal="center"/>
    </xf>
    <xf numFmtId="0" fontId="32" fillId="25" borderId="51" xfId="0" applyFont="1" applyFill="1" applyBorder="1" applyAlignment="1">
      <alignment horizontal="left"/>
    </xf>
    <xf numFmtId="0" fontId="28" fillId="25" borderId="16" xfId="42" applyFont="1" applyFill="1" applyBorder="1" applyAlignment="1">
      <alignment horizontal="left" vertical="top" wrapText="1"/>
    </xf>
    <xf numFmtId="0" fontId="28" fillId="25" borderId="16" xfId="44" applyFont="1" applyFill="1" applyBorder="1" applyAlignment="1">
      <alignment horizontal="left" vertical="top" wrapText="1"/>
    </xf>
    <xf numFmtId="0" fontId="1" fillId="25" borderId="43" xfId="42" applyFont="1" applyFill="1" applyBorder="1"/>
    <xf numFmtId="49" fontId="32" fillId="25" borderId="34" xfId="42" applyNumberFormat="1" applyFont="1" applyFill="1" applyBorder="1" applyAlignment="1">
      <alignment horizontal="left" vertical="top"/>
    </xf>
    <xf numFmtId="0" fontId="28" fillId="25" borderId="67" xfId="42" applyFont="1" applyFill="1" applyBorder="1" applyAlignment="1">
      <alignment vertical="top" wrapText="1"/>
    </xf>
    <xf numFmtId="0" fontId="28" fillId="25" borderId="16" xfId="44" applyFont="1" applyFill="1" applyBorder="1" applyAlignment="1">
      <alignment horizontal="left" wrapText="1"/>
    </xf>
    <xf numFmtId="0" fontId="28" fillId="25" borderId="18" xfId="0" applyFont="1" applyFill="1" applyBorder="1" applyAlignment="1"/>
    <xf numFmtId="0" fontId="28" fillId="25" borderId="18" xfId="0" applyFont="1" applyFill="1" applyBorder="1"/>
    <xf numFmtId="0" fontId="28" fillId="25" borderId="61" xfId="42" applyFont="1" applyFill="1" applyBorder="1" applyAlignment="1">
      <alignment horizontal="left" wrapText="1"/>
    </xf>
    <xf numFmtId="0" fontId="32" fillId="25" borderId="55" xfId="44" applyFont="1" applyFill="1" applyBorder="1" applyAlignment="1"/>
    <xf numFmtId="0" fontId="32" fillId="25" borderId="18" xfId="0" applyFont="1" applyFill="1" applyBorder="1" applyAlignment="1"/>
    <xf numFmtId="0" fontId="32" fillId="25" borderId="14" xfId="44" applyFont="1" applyFill="1" applyBorder="1" applyAlignment="1">
      <alignment horizontal="left" vertical="top" wrapText="1"/>
    </xf>
    <xf numFmtId="0" fontId="6" fillId="25" borderId="49" xfId="42" applyFont="1" applyFill="1" applyBorder="1" applyAlignment="1">
      <alignment horizontal="center" vertical="center"/>
    </xf>
    <xf numFmtId="4" fontId="6" fillId="25" borderId="53" xfId="44" applyNumberFormat="1" applyFont="1" applyFill="1" applyBorder="1" applyAlignment="1">
      <alignment horizontal="center"/>
    </xf>
    <xf numFmtId="4" fontId="6" fillId="25" borderId="68" xfId="42" applyNumberFormat="1" applyFont="1" applyFill="1" applyBorder="1" applyAlignment="1">
      <alignment horizontal="center"/>
    </xf>
    <xf numFmtId="4" fontId="6" fillId="25" borderId="69" xfId="44" applyNumberFormat="1" applyFont="1" applyFill="1" applyBorder="1" applyAlignment="1">
      <alignment horizontal="center"/>
    </xf>
    <xf numFmtId="4" fontId="6" fillId="25" borderId="70" xfId="44" applyNumberFormat="1" applyFont="1" applyFill="1" applyBorder="1" applyAlignment="1">
      <alignment horizontal="center"/>
    </xf>
    <xf numFmtId="4" fontId="6" fillId="25" borderId="71" xfId="44" applyNumberFormat="1" applyFont="1" applyFill="1" applyBorder="1" applyAlignment="1">
      <alignment horizontal="center"/>
    </xf>
    <xf numFmtId="4" fontId="33" fillId="25" borderId="53" xfId="44" applyNumberFormat="1" applyFont="1" applyFill="1" applyBorder="1" applyAlignment="1">
      <alignment horizontal="center"/>
    </xf>
    <xf numFmtId="4" fontId="33" fillId="25" borderId="53" xfId="44" applyNumberFormat="1" applyFont="1" applyFill="1" applyBorder="1" applyAlignment="1">
      <alignment horizontal="center" vertical="center"/>
    </xf>
    <xf numFmtId="4" fontId="33" fillId="25" borderId="68" xfId="42" applyNumberFormat="1" applyFont="1" applyFill="1" applyBorder="1" applyAlignment="1">
      <alignment horizontal="center"/>
    </xf>
    <xf numFmtId="4" fontId="33" fillId="25" borderId="53" xfId="42" applyNumberFormat="1" applyFont="1" applyFill="1" applyBorder="1" applyAlignment="1">
      <alignment horizontal="center" vertical="center"/>
    </xf>
    <xf numFmtId="4" fontId="33" fillId="25" borderId="18" xfId="44" applyNumberFormat="1" applyFont="1" applyFill="1" applyBorder="1" applyAlignment="1">
      <alignment horizontal="center" vertical="top" wrapText="1"/>
    </xf>
    <xf numFmtId="4" fontId="33" fillId="25" borderId="70" xfId="44" applyNumberFormat="1" applyFont="1" applyFill="1" applyBorder="1" applyAlignment="1">
      <alignment horizontal="center"/>
    </xf>
    <xf numFmtId="0" fontId="1" fillId="25" borderId="72" xfId="42" applyFont="1" applyFill="1" applyBorder="1"/>
    <xf numFmtId="4" fontId="46" fillId="25" borderId="53" xfId="42" applyNumberFormat="1" applyFont="1" applyFill="1" applyBorder="1" applyAlignment="1">
      <alignment horizontal="center"/>
    </xf>
    <xf numFmtId="4" fontId="33" fillId="25" borderId="68" xfId="44" applyNumberFormat="1" applyFont="1" applyFill="1" applyBorder="1" applyAlignment="1">
      <alignment horizontal="center"/>
    </xf>
    <xf numFmtId="4" fontId="33" fillId="25" borderId="49" xfId="44" applyNumberFormat="1" applyFont="1" applyFill="1" applyBorder="1" applyAlignment="1">
      <alignment horizontal="center"/>
    </xf>
    <xf numFmtId="4" fontId="33" fillId="25" borderId="57" xfId="42" applyNumberFormat="1" applyFont="1" applyFill="1" applyBorder="1" applyAlignment="1">
      <alignment horizontal="center"/>
    </xf>
    <xf numFmtId="4" fontId="6" fillId="25" borderId="53" xfId="42" applyNumberFormat="1" applyFont="1" applyFill="1" applyBorder="1" applyAlignment="1">
      <alignment horizontal="center" vertical="center"/>
    </xf>
    <xf numFmtId="4" fontId="33" fillId="25" borderId="59" xfId="44" applyNumberFormat="1" applyFont="1" applyFill="1" applyBorder="1" applyAlignment="1">
      <alignment horizontal="center"/>
    </xf>
    <xf numFmtId="4" fontId="33" fillId="25" borderId="59" xfId="42" applyNumberFormat="1" applyFont="1" applyFill="1" applyBorder="1" applyAlignment="1">
      <alignment horizontal="center"/>
    </xf>
    <xf numFmtId="0" fontId="32" fillId="25" borderId="52" xfId="42" applyFont="1" applyFill="1" applyBorder="1" applyAlignment="1">
      <alignment horizontal="left" wrapText="1"/>
    </xf>
    <xf numFmtId="0" fontId="1" fillId="25" borderId="44" xfId="42" applyFont="1" applyFill="1" applyBorder="1"/>
    <xf numFmtId="0" fontId="32" fillId="0" borderId="52" xfId="0" applyFont="1" applyFill="1" applyBorder="1" applyAlignment="1">
      <alignment horizontal="left"/>
    </xf>
    <xf numFmtId="0" fontId="32" fillId="25" borderId="51" xfId="44" quotePrefix="1" applyFont="1" applyFill="1" applyBorder="1" applyAlignment="1">
      <alignment horizontal="left"/>
    </xf>
    <xf numFmtId="4" fontId="28" fillId="0" borderId="51" xfId="39" applyNumberFormat="1" applyFont="1" applyBorder="1"/>
    <xf numFmtId="4" fontId="32" fillId="0" borderId="52" xfId="39" applyNumberFormat="1" applyFont="1" applyBorder="1"/>
    <xf numFmtId="4" fontId="28" fillId="0" borderId="52" xfId="39" applyNumberFormat="1" applyFont="1" applyBorder="1"/>
    <xf numFmtId="4" fontId="32" fillId="0" borderId="51" xfId="39" applyNumberFormat="1" applyFont="1" applyBorder="1"/>
    <xf numFmtId="0" fontId="1" fillId="0" borderId="0" xfId="0" applyFont="1" applyBorder="1"/>
    <xf numFmtId="0" fontId="1" fillId="0" borderId="73" xfId="0" applyFont="1" applyBorder="1"/>
    <xf numFmtId="4" fontId="32" fillId="0" borderId="36" xfId="0" applyNumberFormat="1" applyFont="1" applyBorder="1"/>
    <xf numFmtId="0" fontId="28" fillId="0" borderId="23" xfId="0" applyFont="1" applyBorder="1" applyAlignment="1">
      <alignment horizontal="center" vertical="center"/>
    </xf>
    <xf numFmtId="0" fontId="28" fillId="0" borderId="55" xfId="0" applyFont="1" applyBorder="1" applyAlignment="1">
      <alignment wrapText="1"/>
    </xf>
    <xf numFmtId="0" fontId="5" fillId="0" borderId="55" xfId="39" applyFont="1" applyBorder="1" applyAlignment="1">
      <alignment wrapText="1"/>
    </xf>
    <xf numFmtId="0" fontId="5" fillId="0" borderId="55" xfId="0" applyFont="1" applyBorder="1"/>
    <xf numFmtId="0" fontId="28" fillId="0" borderId="55" xfId="0" applyFont="1" applyBorder="1" applyAlignment="1">
      <alignment vertical="center" wrapText="1"/>
    </xf>
    <xf numFmtId="0" fontId="28" fillId="0" borderId="55" xfId="0" applyFont="1" applyBorder="1"/>
    <xf numFmtId="0" fontId="32" fillId="0" borderId="65" xfId="0" applyFont="1" applyBorder="1" applyAlignment="1">
      <alignment horizontal="left" wrapText="1"/>
    </xf>
    <xf numFmtId="0" fontId="32" fillId="0" borderId="43" xfId="0" applyFont="1" applyBorder="1" applyAlignment="1">
      <alignment wrapText="1"/>
    </xf>
    <xf numFmtId="0" fontId="32" fillId="0" borderId="74" xfId="0" applyFont="1" applyBorder="1"/>
    <xf numFmtId="0" fontId="28" fillId="0" borderId="75" xfId="41" applyFont="1" applyBorder="1" applyAlignment="1">
      <alignment horizontal="center" vertical="center" wrapText="1"/>
    </xf>
    <xf numFmtId="4" fontId="28" fillId="0" borderId="53" xfId="0" applyNumberFormat="1" applyFont="1" applyBorder="1"/>
    <xf numFmtId="4" fontId="28" fillId="0" borderId="53" xfId="0" applyNumberFormat="1" applyFont="1" applyBorder="1" applyAlignment="1">
      <alignment vertical="center"/>
    </xf>
    <xf numFmtId="4" fontId="32" fillId="0" borderId="73" xfId="0" applyNumberFormat="1" applyFont="1" applyBorder="1" applyAlignment="1">
      <alignment vertical="center"/>
    </xf>
    <xf numFmtId="4" fontId="32" fillId="0" borderId="72" xfId="0" applyNumberFormat="1" applyFont="1" applyBorder="1"/>
    <xf numFmtId="0" fontId="28" fillId="0" borderId="76" xfId="0" applyFont="1" applyBorder="1" applyAlignment="1">
      <alignment horizontal="center" vertical="center" wrapText="1"/>
    </xf>
    <xf numFmtId="0" fontId="32" fillId="0" borderId="52" xfId="0" applyFont="1" applyBorder="1" applyAlignment="1">
      <alignment horizontal="center"/>
    </xf>
    <xf numFmtId="0" fontId="32" fillId="0" borderId="52" xfId="0" applyFont="1" applyBorder="1" applyAlignment="1">
      <alignment horizontal="center" vertical="center"/>
    </xf>
    <xf numFmtId="0" fontId="32" fillId="0" borderId="51" xfId="0" applyFont="1" applyBorder="1" applyAlignment="1">
      <alignment horizontal="center"/>
    </xf>
    <xf numFmtId="0" fontId="32" fillId="0" borderId="44" xfId="0" applyFont="1" applyBorder="1" applyAlignment="1">
      <alignment horizontal="center" vertical="center"/>
    </xf>
    <xf numFmtId="0" fontId="32" fillId="0" borderId="41" xfId="0" applyFont="1" applyBorder="1"/>
    <xf numFmtId="49" fontId="28" fillId="25" borderId="25" xfId="42" applyNumberFormat="1" applyFont="1" applyFill="1" applyBorder="1" applyAlignment="1">
      <alignment horizontal="left" vertical="top" wrapText="1"/>
    </xf>
    <xf numFmtId="49" fontId="28" fillId="25" borderId="16" xfId="42" applyNumberFormat="1" applyFont="1" applyFill="1" applyBorder="1" applyAlignment="1">
      <alignment horizontal="left" vertical="top" wrapText="1"/>
    </xf>
    <xf numFmtId="0" fontId="28" fillId="25" borderId="55" xfId="42" applyFont="1" applyFill="1" applyBorder="1" applyAlignment="1">
      <alignment horizontal="left" wrapText="1"/>
    </xf>
    <xf numFmtId="0" fontId="28" fillId="25" borderId="18" xfId="42" applyFont="1" applyFill="1" applyBorder="1" applyAlignment="1">
      <alignment horizontal="left" wrapText="1"/>
    </xf>
    <xf numFmtId="0" fontId="32" fillId="25" borderId="16" xfId="42" applyFont="1" applyFill="1" applyBorder="1" applyAlignment="1">
      <alignment wrapText="1"/>
    </xf>
    <xf numFmtId="0" fontId="32" fillId="25" borderId="25" xfId="44" applyFont="1" applyFill="1" applyBorder="1" applyAlignment="1">
      <alignment horizontal="left" wrapText="1"/>
    </xf>
    <xf numFmtId="0" fontId="32" fillId="25" borderId="16" xfId="44" applyFont="1" applyFill="1" applyBorder="1" applyAlignment="1">
      <alignment horizontal="left" wrapText="1"/>
    </xf>
    <xf numFmtId="0" fontId="32" fillId="25" borderId="25" xfId="42" applyFont="1" applyFill="1" applyBorder="1" applyAlignment="1">
      <alignment horizontal="left" wrapText="1"/>
    </xf>
    <xf numFmtId="0" fontId="32" fillId="25" borderId="16" xfId="42" applyFont="1" applyFill="1" applyBorder="1" applyAlignment="1">
      <alignment horizontal="left" wrapText="1"/>
    </xf>
    <xf numFmtId="49" fontId="37" fillId="25" borderId="16" xfId="42" applyNumberFormat="1" applyFont="1" applyFill="1" applyBorder="1" applyAlignment="1">
      <alignment horizontal="left" vertical="top" wrapText="1"/>
    </xf>
    <xf numFmtId="0" fontId="28" fillId="25" borderId="25" xfId="42" applyFont="1" applyFill="1" applyBorder="1" applyAlignment="1">
      <alignment horizontal="left" wrapText="1"/>
    </xf>
    <xf numFmtId="0" fontId="28" fillId="25" borderId="16" xfId="42" applyFont="1" applyFill="1" applyBorder="1" applyAlignment="1">
      <alignment horizontal="left" wrapText="1"/>
    </xf>
    <xf numFmtId="0" fontId="32" fillId="25" borderId="55" xfId="42" applyFont="1" applyFill="1" applyBorder="1" applyAlignment="1">
      <alignment horizontal="left" vertical="center" wrapText="1"/>
    </xf>
    <xf numFmtId="0" fontId="32" fillId="25" borderId="18" xfId="42" applyFont="1" applyFill="1" applyBorder="1" applyAlignment="1">
      <alignment horizontal="left" vertical="center" wrapText="1"/>
    </xf>
    <xf numFmtId="0" fontId="32" fillId="25" borderId="16" xfId="42" applyFont="1" applyFill="1" applyBorder="1"/>
    <xf numFmtId="0" fontId="32" fillId="25" borderId="16" xfId="44" applyFont="1" applyFill="1" applyBorder="1" applyAlignment="1">
      <alignment horizontal="left" vertical="top" wrapText="1"/>
    </xf>
    <xf numFmtId="0" fontId="32" fillId="25" borderId="16" xfId="42" applyFont="1" applyFill="1" applyBorder="1" applyAlignment="1">
      <alignment horizontal="left" vertical="top" wrapText="1"/>
    </xf>
    <xf numFmtId="0" fontId="32" fillId="25" borderId="55" xfId="42" applyFont="1" applyFill="1" applyBorder="1" applyAlignment="1">
      <alignment wrapText="1"/>
    </xf>
    <xf numFmtId="0" fontId="32" fillId="25" borderId="55" xfId="42" applyFont="1" applyFill="1" applyBorder="1" applyAlignment="1">
      <alignment horizontal="left" wrapText="1"/>
    </xf>
    <xf numFmtId="0" fontId="32" fillId="25" borderId="18" xfId="42" applyFont="1" applyFill="1" applyBorder="1" applyAlignment="1">
      <alignment horizontal="left" wrapText="1"/>
    </xf>
    <xf numFmtId="0" fontId="28" fillId="25" borderId="55" xfId="42" applyFont="1" applyFill="1" applyBorder="1" applyAlignment="1">
      <alignment wrapText="1"/>
    </xf>
    <xf numFmtId="0" fontId="6" fillId="25" borderId="22" xfId="42" applyFont="1" applyFill="1" applyBorder="1" applyAlignment="1">
      <alignment horizontal="center" vertical="center" wrapText="1"/>
    </xf>
    <xf numFmtId="0" fontId="48" fillId="0" borderId="0" xfId="0" applyFont="1"/>
    <xf numFmtId="4" fontId="6" fillId="25" borderId="53" xfId="44" applyNumberFormat="1" applyFont="1" applyFill="1" applyBorder="1" applyAlignment="1">
      <alignment horizontal="right"/>
    </xf>
    <xf numFmtId="4" fontId="33" fillId="25" borderId="56" xfId="42" applyNumberFormat="1" applyFont="1" applyFill="1" applyBorder="1" applyAlignment="1">
      <alignment horizontal="center"/>
    </xf>
    <xf numFmtId="0" fontId="6" fillId="25" borderId="40" xfId="42" applyFont="1" applyFill="1" applyBorder="1" applyAlignment="1">
      <alignment horizontal="center" vertical="center"/>
    </xf>
    <xf numFmtId="4" fontId="6" fillId="25" borderId="51" xfId="44" applyNumberFormat="1" applyFont="1" applyFill="1" applyBorder="1" applyAlignment="1">
      <alignment horizontal="center"/>
    </xf>
    <xf numFmtId="4" fontId="6" fillId="25" borderId="56" xfId="42" applyNumberFormat="1" applyFont="1" applyFill="1" applyBorder="1" applyAlignment="1">
      <alignment horizontal="center"/>
    </xf>
    <xf numFmtId="4" fontId="6" fillId="25" borderId="47" xfId="44" applyNumberFormat="1" applyFont="1" applyFill="1" applyBorder="1" applyAlignment="1">
      <alignment horizontal="center"/>
    </xf>
    <xf numFmtId="4" fontId="33" fillId="25" borderId="52" xfId="44" applyNumberFormat="1" applyFont="1" applyFill="1" applyBorder="1" applyAlignment="1">
      <alignment horizontal="center" vertical="top" wrapText="1"/>
    </xf>
    <xf numFmtId="0" fontId="1" fillId="25" borderId="41" xfId="42" applyFont="1" applyFill="1" applyBorder="1"/>
    <xf numFmtId="4" fontId="46" fillId="25" borderId="52" xfId="42" applyNumberFormat="1" applyFont="1" applyFill="1" applyBorder="1" applyAlignment="1">
      <alignment horizontal="center"/>
    </xf>
    <xf numFmtId="4" fontId="33" fillId="25" borderId="56" xfId="44" applyNumberFormat="1" applyFont="1" applyFill="1" applyBorder="1" applyAlignment="1">
      <alignment horizontal="center"/>
    </xf>
    <xf numFmtId="4" fontId="6" fillId="25" borderId="52" xfId="42" applyNumberFormat="1" applyFont="1" applyFill="1" applyBorder="1" applyAlignment="1">
      <alignment horizontal="center" vertical="center"/>
    </xf>
    <xf numFmtId="4" fontId="33" fillId="25" borderId="51" xfId="44" applyNumberFormat="1" applyFont="1" applyFill="1" applyBorder="1" applyAlignment="1">
      <alignment horizontal="center"/>
    </xf>
    <xf numFmtId="4" fontId="33" fillId="25" borderId="51" xfId="42" applyNumberFormat="1" applyFont="1" applyFill="1" applyBorder="1" applyAlignment="1">
      <alignment horizontal="center"/>
    </xf>
    <xf numFmtId="165" fontId="44" fillId="0" borderId="0" xfId="46" applyNumberFormat="1" applyFont="1" applyFill="1" applyBorder="1" applyAlignment="1" applyProtection="1">
      <alignment horizontal="left" wrapText="1"/>
    </xf>
    <xf numFmtId="0" fontId="1" fillId="0" borderId="0" xfId="0" applyFont="1" applyAlignment="1">
      <alignment wrapText="1"/>
    </xf>
    <xf numFmtId="0" fontId="4" fillId="25" borderId="0" xfId="44" applyFont="1" applyFill="1" applyAlignment="1">
      <alignment vertical="top" wrapText="1"/>
    </xf>
    <xf numFmtId="0" fontId="5" fillId="0" borderId="0" xfId="43" applyFont="1" applyFill="1" applyBorder="1" applyAlignment="1">
      <alignment horizontal="center"/>
    </xf>
    <xf numFmtId="0" fontId="2" fillId="0" borderId="0" xfId="45" applyFont="1" applyFill="1" applyBorder="1" applyAlignment="1">
      <alignment horizontal="center"/>
    </xf>
    <xf numFmtId="0" fontId="28" fillId="0" borderId="0" xfId="46" applyFont="1" applyFill="1" applyAlignment="1">
      <alignment horizontal="center"/>
    </xf>
    <xf numFmtId="165" fontId="1" fillId="0" borderId="42" xfId="46" applyNumberFormat="1" applyFont="1" applyFill="1" applyBorder="1" applyAlignment="1" applyProtection="1">
      <alignment horizontal="center" vertical="center" wrapText="1"/>
    </xf>
    <xf numFmtId="0" fontId="1" fillId="0" borderId="19" xfId="46" applyFont="1" applyFill="1" applyBorder="1" applyAlignment="1">
      <alignment horizontal="center" vertical="center" wrapText="1"/>
    </xf>
    <xf numFmtId="0" fontId="1" fillId="0" borderId="15" xfId="46" applyFont="1" applyFill="1" applyBorder="1" applyAlignment="1">
      <alignment horizontal="center" vertical="center" wrapText="1"/>
    </xf>
    <xf numFmtId="165" fontId="1" fillId="0" borderId="20" xfId="46" applyNumberFormat="1" applyFont="1" applyFill="1" applyBorder="1" applyAlignment="1" applyProtection="1">
      <alignment horizontal="center" vertical="center" wrapText="1"/>
    </xf>
    <xf numFmtId="0" fontId="1" fillId="0" borderId="0" xfId="46" applyFont="1" applyFill="1" applyBorder="1" applyAlignment="1">
      <alignment horizontal="center" vertical="center" wrapText="1"/>
    </xf>
    <xf numFmtId="0" fontId="1" fillId="0" borderId="58" xfId="46" applyFont="1" applyFill="1" applyBorder="1" applyAlignment="1">
      <alignment horizontal="center" vertical="center" wrapText="1"/>
    </xf>
    <xf numFmtId="165" fontId="1" fillId="0" borderId="18" xfId="46" applyNumberFormat="1" applyFont="1" applyFill="1" applyBorder="1" applyAlignment="1" applyProtection="1">
      <alignment horizontal="center" vertical="center" wrapText="1"/>
    </xf>
    <xf numFmtId="0" fontId="1" fillId="0" borderId="18" xfId="46" applyFont="1" applyFill="1" applyBorder="1" applyAlignment="1">
      <alignment horizontal="center" vertical="center" wrapText="1"/>
    </xf>
    <xf numFmtId="0" fontId="1" fillId="0" borderId="12" xfId="46" applyFont="1" applyFill="1" applyBorder="1" applyAlignment="1">
      <alignment horizontal="center" vertical="center" wrapText="1"/>
    </xf>
    <xf numFmtId="0" fontId="1" fillId="0" borderId="64" xfId="46" applyFont="1" applyFill="1" applyBorder="1" applyAlignment="1">
      <alignment horizontal="center" vertical="center" wrapText="1"/>
    </xf>
    <xf numFmtId="0" fontId="1" fillId="0" borderId="14" xfId="46" applyFont="1" applyFill="1" applyBorder="1" applyAlignment="1">
      <alignment horizontal="center" vertical="center" wrapText="1"/>
    </xf>
    <xf numFmtId="0" fontId="1" fillId="0" borderId="13" xfId="46" applyFont="1" applyFill="1" applyBorder="1" applyAlignment="1">
      <alignment horizontal="center" vertical="center" wrapText="1"/>
    </xf>
    <xf numFmtId="0" fontId="1" fillId="0" borderId="42" xfId="46" applyFont="1" applyFill="1" applyBorder="1" applyAlignment="1">
      <alignment horizontal="center" vertical="center" wrapText="1"/>
    </xf>
    <xf numFmtId="0" fontId="1" fillId="0" borderId="64" xfId="46" applyFont="1" applyFill="1" applyBorder="1" applyAlignment="1">
      <alignment horizontal="center" vertical="center"/>
    </xf>
    <xf numFmtId="0" fontId="1" fillId="25" borderId="43" xfId="42" applyFont="1" applyFill="1" applyBorder="1" applyAlignment="1">
      <alignment horizontal="center" vertical="center"/>
    </xf>
    <xf numFmtId="0" fontId="32" fillId="25" borderId="55" xfId="0" applyFont="1" applyFill="1" applyBorder="1" applyAlignment="1">
      <alignment horizontal="left" vertical="center" wrapText="1"/>
    </xf>
    <xf numFmtId="0" fontId="32" fillId="25" borderId="53" xfId="0" applyFont="1" applyFill="1" applyBorder="1" applyAlignment="1">
      <alignment horizontal="left" vertical="center" wrapText="1"/>
    </xf>
    <xf numFmtId="0" fontId="28" fillId="25" borderId="55" xfId="0" applyFont="1" applyFill="1" applyBorder="1" applyAlignment="1">
      <alignment horizontal="left" vertical="center" wrapText="1"/>
    </xf>
    <xf numFmtId="0" fontId="28" fillId="25" borderId="53" xfId="0" applyFont="1" applyFill="1" applyBorder="1" applyAlignment="1">
      <alignment horizontal="left" vertical="center" wrapText="1"/>
    </xf>
    <xf numFmtId="0" fontId="28" fillId="25" borderId="55" xfId="44" applyFont="1" applyFill="1" applyBorder="1" applyAlignment="1">
      <alignment horizontal="left" vertical="top" wrapText="1"/>
    </xf>
    <xf numFmtId="0" fontId="28" fillId="25" borderId="53" xfId="44" applyFont="1" applyFill="1" applyBorder="1" applyAlignment="1">
      <alignment horizontal="left" vertical="top" wrapText="1"/>
    </xf>
    <xf numFmtId="0" fontId="28" fillId="25" borderId="55" xfId="44" applyFont="1" applyFill="1" applyBorder="1" applyAlignment="1">
      <alignment horizontal="left" wrapText="1"/>
    </xf>
    <xf numFmtId="0" fontId="28" fillId="25" borderId="53" xfId="44" applyFont="1" applyFill="1" applyBorder="1" applyAlignment="1">
      <alignment horizontal="left" wrapText="1"/>
    </xf>
    <xf numFmtId="0" fontId="28" fillId="25" borderId="55" xfId="42" applyFont="1" applyFill="1" applyBorder="1" applyAlignment="1">
      <alignment horizontal="left" wrapText="1"/>
    </xf>
    <xf numFmtId="0" fontId="28" fillId="25" borderId="53" xfId="42" applyFont="1" applyFill="1" applyBorder="1" applyAlignment="1">
      <alignment horizontal="left" wrapText="1"/>
    </xf>
    <xf numFmtId="49" fontId="28" fillId="25" borderId="55" xfId="42" applyNumberFormat="1" applyFont="1" applyFill="1" applyBorder="1" applyAlignment="1">
      <alignment horizontal="left" vertical="top" wrapText="1"/>
    </xf>
    <xf numFmtId="49" fontId="28" fillId="25" borderId="53" xfId="42" applyNumberFormat="1" applyFont="1" applyFill="1" applyBorder="1" applyAlignment="1">
      <alignment horizontal="left" vertical="top" wrapText="1"/>
    </xf>
    <xf numFmtId="0" fontId="32" fillId="25" borderId="55" xfId="42" applyFont="1" applyFill="1" applyBorder="1" applyAlignment="1">
      <alignment horizontal="left"/>
    </xf>
    <xf numFmtId="0" fontId="0" fillId="0" borderId="53" xfId="0" applyBorder="1"/>
    <xf numFmtId="0" fontId="32" fillId="25" borderId="55" xfId="42" applyFont="1" applyFill="1" applyBorder="1" applyAlignment="1">
      <alignment horizontal="left" wrapText="1"/>
    </xf>
    <xf numFmtId="0" fontId="1" fillId="25" borderId="11" xfId="42" applyFont="1" applyFill="1" applyBorder="1" applyAlignment="1">
      <alignment horizontal="center" vertical="center"/>
    </xf>
    <xf numFmtId="0" fontId="1" fillId="25" borderId="64" xfId="42" applyFont="1" applyFill="1" applyBorder="1" applyAlignment="1">
      <alignment horizontal="center" vertical="center"/>
    </xf>
    <xf numFmtId="0" fontId="1" fillId="25" borderId="13" xfId="42" applyFont="1" applyFill="1" applyBorder="1" applyAlignment="1">
      <alignment horizontal="center" vertical="center"/>
    </xf>
    <xf numFmtId="49" fontId="28" fillId="25" borderId="55" xfId="42" applyNumberFormat="1" applyFont="1" applyFill="1" applyBorder="1" applyAlignment="1">
      <alignment horizontal="left" wrapText="1"/>
    </xf>
    <xf numFmtId="0" fontId="32" fillId="25" borderId="55" xfId="42" applyFont="1" applyFill="1" applyBorder="1" applyAlignment="1">
      <alignment vertical="justify"/>
    </xf>
    <xf numFmtId="0" fontId="32" fillId="25" borderId="55" xfId="0" applyFont="1" applyFill="1" applyBorder="1"/>
    <xf numFmtId="0" fontId="32" fillId="25" borderId="55" xfId="42" applyFont="1" applyFill="1" applyBorder="1" applyAlignment="1">
      <alignment wrapText="1"/>
    </xf>
    <xf numFmtId="49" fontId="37" fillId="25" borderId="55" xfId="42" applyNumberFormat="1" applyFont="1" applyFill="1" applyBorder="1" applyAlignment="1">
      <alignment horizontal="left" vertical="top" wrapText="1"/>
    </xf>
    <xf numFmtId="0" fontId="32" fillId="25" borderId="55" xfId="42" applyFont="1" applyFill="1" applyBorder="1" applyAlignment="1">
      <alignment horizontal="left" vertical="center" wrapText="1"/>
    </xf>
    <xf numFmtId="0" fontId="32" fillId="25" borderId="55" xfId="44" applyFont="1" applyFill="1" applyBorder="1" applyAlignment="1">
      <alignment horizontal="left" wrapText="1"/>
    </xf>
    <xf numFmtId="0" fontId="28" fillId="25" borderId="55" xfId="42" applyFont="1" applyFill="1" applyBorder="1" applyAlignment="1">
      <alignment horizontal="left"/>
    </xf>
    <xf numFmtId="49" fontId="28" fillId="25" borderId="55" xfId="42" applyNumberFormat="1" applyFont="1" applyFill="1" applyBorder="1" applyAlignment="1">
      <alignment horizontal="left" vertical="top"/>
    </xf>
    <xf numFmtId="0" fontId="28" fillId="25" borderId="55" xfId="42" applyFont="1" applyFill="1" applyBorder="1" applyAlignment="1">
      <alignment horizontal="left" vertical="center" wrapText="1"/>
    </xf>
    <xf numFmtId="49" fontId="28" fillId="25" borderId="55" xfId="42" quotePrefix="1" applyNumberFormat="1" applyFont="1" applyFill="1" applyBorder="1" applyAlignment="1">
      <alignment horizontal="left" vertical="top" wrapText="1"/>
    </xf>
    <xf numFmtId="0" fontId="43" fillId="25" borderId="55" xfId="0" applyFont="1" applyFill="1" applyBorder="1" applyAlignment="1">
      <alignment horizontal="left" wrapText="1"/>
    </xf>
    <xf numFmtId="0" fontId="47" fillId="0" borderId="55" xfId="0" applyFont="1" applyFill="1" applyBorder="1" applyAlignment="1">
      <alignment vertical="center" wrapText="1"/>
    </xf>
    <xf numFmtId="0" fontId="32" fillId="25" borderId="55" xfId="42" applyFont="1" applyFill="1" applyBorder="1" applyAlignment="1">
      <alignment horizontal="left" vertical="top" wrapText="1"/>
    </xf>
    <xf numFmtId="0" fontId="32" fillId="25" borderId="53" xfId="42" applyFont="1" applyFill="1" applyBorder="1" applyAlignment="1">
      <alignment horizontal="left" vertical="top" wrapText="1"/>
    </xf>
    <xf numFmtId="0" fontId="28" fillId="25" borderId="55" xfId="42" applyFont="1" applyFill="1" applyBorder="1" applyAlignment="1">
      <alignment horizontal="left" vertical="top" wrapText="1"/>
    </xf>
    <xf numFmtId="0" fontId="28" fillId="25" borderId="55" xfId="0" applyFont="1" applyFill="1" applyBorder="1" applyAlignment="1">
      <alignment horizontal="left" wrapText="1"/>
    </xf>
    <xf numFmtId="0" fontId="32" fillId="25" borderId="55" xfId="44" applyFont="1" applyFill="1" applyBorder="1" applyAlignment="1">
      <alignment horizontal="left" vertical="top" wrapText="1"/>
    </xf>
    <xf numFmtId="0" fontId="32" fillId="25" borderId="55" xfId="42" applyFont="1" applyFill="1" applyBorder="1" applyAlignment="1">
      <alignment vertical="top" wrapText="1"/>
    </xf>
    <xf numFmtId="0" fontId="0" fillId="0" borderId="53" xfId="0" applyBorder="1" applyAlignment="1">
      <alignment wrapText="1"/>
    </xf>
    <xf numFmtId="0" fontId="28" fillId="25" borderId="55" xfId="42" applyFont="1" applyFill="1" applyBorder="1" applyAlignment="1">
      <alignment wrapText="1"/>
    </xf>
    <xf numFmtId="0" fontId="32" fillId="25" borderId="55" xfId="44" applyFont="1" applyFill="1" applyBorder="1" applyAlignment="1">
      <alignment vertical="top" wrapText="1"/>
    </xf>
    <xf numFmtId="0" fontId="28" fillId="25" borderId="55" xfId="44" applyFont="1" applyFill="1" applyBorder="1" applyAlignment="1">
      <alignment horizontal="left" vertical="center" wrapText="1"/>
    </xf>
    <xf numFmtId="0" fontId="39" fillId="25" borderId="55" xfId="44" applyFont="1" applyFill="1" applyBorder="1" applyAlignment="1">
      <alignment horizontal="left" vertical="top" wrapText="1"/>
    </xf>
    <xf numFmtId="0" fontId="32" fillId="25" borderId="55" xfId="0" applyFont="1" applyFill="1" applyBorder="1" applyAlignment="1">
      <alignment horizontal="left" wrapText="1"/>
    </xf>
    <xf numFmtId="49" fontId="37" fillId="25" borderId="80" xfId="42" applyNumberFormat="1" applyFont="1" applyFill="1" applyBorder="1" applyAlignment="1">
      <alignment horizontal="left" vertical="top" wrapText="1"/>
    </xf>
    <xf numFmtId="0" fontId="0" fillId="0" borderId="69" xfId="0" applyBorder="1"/>
    <xf numFmtId="0" fontId="28" fillId="25" borderId="66" xfId="0" applyFont="1" applyFill="1" applyBorder="1" applyAlignment="1">
      <alignment horizontal="left" wrapText="1"/>
    </xf>
    <xf numFmtId="0" fontId="0" fillId="0" borderId="79" xfId="0" applyBorder="1"/>
    <xf numFmtId="0" fontId="28" fillId="25" borderId="0" xfId="44" applyFont="1" applyFill="1" applyAlignment="1">
      <alignment horizontal="center" vertical="center" wrapText="1"/>
    </xf>
    <xf numFmtId="0" fontId="28" fillId="25" borderId="55" xfId="44" applyFont="1" applyFill="1" applyBorder="1" applyAlignment="1">
      <alignment vertical="top" wrapText="1"/>
    </xf>
    <xf numFmtId="0" fontId="28" fillId="25" borderId="77" xfId="0" applyFont="1" applyFill="1" applyBorder="1" applyAlignment="1">
      <alignment horizontal="left" wrapText="1"/>
    </xf>
    <xf numFmtId="0" fontId="0" fillId="0" borderId="78" xfId="0" applyBorder="1"/>
    <xf numFmtId="0" fontId="28" fillId="0" borderId="0" xfId="39" applyFont="1" applyAlignment="1">
      <alignment horizontal="center" vertical="center" wrapText="1"/>
    </xf>
    <xf numFmtId="0" fontId="28" fillId="0" borderId="0" xfId="0" applyFont="1" applyAlignment="1">
      <alignment horizontal="right"/>
    </xf>
    <xf numFmtId="0" fontId="28" fillId="0" borderId="0" xfId="0" applyFont="1" applyAlignment="1">
      <alignment horizontal="center"/>
    </xf>
  </cellXfs>
  <cellStyles count="5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 2 2" xfId="38"/>
    <cellStyle name="Normal_anexe bug initial 2007 2" xfId="39"/>
    <cellStyle name="Normal_anexe bug initial 2007 2 2" xfId="40"/>
    <cellStyle name="Normal_buget2007 2" xfId="41"/>
    <cellStyle name="Normal_buget2007_anexa 2  rectif v proprii subventii" xfId="42"/>
    <cellStyle name="Normal_mach03_FORMULAR BUGET CENTR 2011" xfId="43"/>
    <cellStyle name="Normal_Machete buget 99" xfId="44"/>
    <cellStyle name="Normal_Machete buget 99_FORMULAR BUGET CENTR 2011" xfId="45"/>
    <cellStyle name="Normal_Sheet1" xfId="46"/>
    <cellStyle name="Normal_VAC 1b 2" xfId="47"/>
    <cellStyle name="Normal_VAC 1b_FORMULAR BUGET CENTR 2011" xfId="48"/>
    <cellStyle name="Note" xfId="49" builtinId="10" customBuiltin="1"/>
    <cellStyle name="Output" xfId="50" builtinId="21" customBuiltin="1"/>
    <cellStyle name="Title" xfId="51" builtinId="15" customBuiltin="1"/>
    <cellStyle name="Total" xfId="52" builtinId="25" customBuiltin="1"/>
    <cellStyle name="Warning Text" xfId="53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0"/>
  </sheetPr>
  <dimension ref="A1:L123"/>
  <sheetViews>
    <sheetView zoomScale="98" zoomScaleNormal="98" workbookViewId="0">
      <selection activeCell="J50" sqref="J50"/>
    </sheetView>
  </sheetViews>
  <sheetFormatPr defaultRowHeight="12.75"/>
  <cols>
    <col min="1" max="1" width="26.42578125" style="81" customWidth="1"/>
    <col min="2" max="2" width="9.140625" style="186"/>
    <col min="3" max="3" width="15.85546875" style="81" customWidth="1"/>
    <col min="4" max="4" width="13.85546875" style="81" customWidth="1"/>
    <col min="5" max="5" width="14.28515625" style="81" customWidth="1"/>
    <col min="6" max="6" width="10.5703125" style="81" customWidth="1"/>
    <col min="7" max="7" width="12.42578125" style="81" customWidth="1"/>
    <col min="8" max="8" width="13.42578125" style="81" customWidth="1"/>
    <col min="9" max="9" width="15.5703125" style="81" customWidth="1"/>
    <col min="10" max="10" width="11.7109375" style="81" bestFit="1" customWidth="1"/>
    <col min="11" max="11" width="15.28515625" style="81" customWidth="1"/>
    <col min="12" max="12" width="10.5703125" style="81" customWidth="1"/>
    <col min="13" max="16384" width="9.140625" style="81"/>
  </cols>
  <sheetData>
    <row r="1" spans="1:11" ht="15.75">
      <c r="A1" s="1" t="s">
        <v>667</v>
      </c>
      <c r="B1" s="2"/>
      <c r="C1" s="3"/>
      <c r="D1" s="3"/>
      <c r="E1" s="3"/>
      <c r="F1" s="3"/>
      <c r="G1" s="3"/>
      <c r="H1" s="3"/>
      <c r="I1" s="3"/>
      <c r="J1" s="3" t="s">
        <v>668</v>
      </c>
      <c r="K1" s="3"/>
    </row>
    <row r="2" spans="1:11" ht="15.75">
      <c r="A2" s="4" t="s">
        <v>669</v>
      </c>
      <c r="B2" s="5"/>
      <c r="C2" s="3"/>
      <c r="D2" s="6"/>
      <c r="E2" s="6"/>
      <c r="F2" s="3"/>
      <c r="G2" s="3"/>
      <c r="H2" s="7"/>
      <c r="I2" s="8"/>
      <c r="J2" s="3"/>
      <c r="K2" s="9"/>
    </row>
    <row r="3" spans="1:11" ht="15.75">
      <c r="A3" s="10" t="s">
        <v>670</v>
      </c>
      <c r="B3" s="5"/>
      <c r="C3" s="3"/>
      <c r="D3" s="3"/>
      <c r="E3" s="3"/>
      <c r="F3" s="9"/>
      <c r="G3" s="11"/>
      <c r="H3" s="11"/>
      <c r="I3" s="12"/>
      <c r="J3" s="13"/>
      <c r="K3" s="13"/>
    </row>
    <row r="4" spans="1:11" ht="18">
      <c r="A4" s="500"/>
      <c r="B4" s="500"/>
      <c r="C4" s="500"/>
      <c r="D4" s="500"/>
      <c r="E4" s="500"/>
      <c r="F4" s="500"/>
      <c r="G4" s="500"/>
      <c r="H4" s="500"/>
      <c r="I4" s="500"/>
      <c r="J4" s="500"/>
      <c r="K4" s="500"/>
    </row>
    <row r="5" spans="1:11" ht="18">
      <c r="A5" s="500" t="s">
        <v>671</v>
      </c>
      <c r="B5" s="500"/>
      <c r="C5" s="500"/>
      <c r="D5" s="500"/>
      <c r="E5" s="500"/>
      <c r="F5" s="500"/>
      <c r="G5" s="500"/>
      <c r="H5" s="500"/>
      <c r="I5" s="500"/>
      <c r="J5" s="500"/>
      <c r="K5" s="500"/>
    </row>
    <row r="6" spans="1:11" ht="18">
      <c r="A6" s="14"/>
      <c r="B6" s="14"/>
      <c r="C6" s="14"/>
      <c r="D6" s="14"/>
      <c r="E6" s="394" t="s">
        <v>1066</v>
      </c>
      <c r="F6" s="14"/>
      <c r="G6" s="14"/>
      <c r="H6" s="14"/>
      <c r="I6" s="14"/>
      <c r="J6" s="14"/>
      <c r="K6" s="14"/>
    </row>
    <row r="7" spans="1:11" ht="15.75">
      <c r="A7" s="15"/>
      <c r="B7" s="16"/>
      <c r="C7" s="17"/>
      <c r="D7" s="17"/>
      <c r="E7" s="18"/>
      <c r="F7" s="17"/>
      <c r="G7" s="17"/>
      <c r="H7" s="17"/>
      <c r="I7" s="17"/>
      <c r="J7" s="3"/>
    </row>
    <row r="8" spans="1:11" ht="15.75" hidden="1">
      <c r="A8" s="15"/>
      <c r="B8" s="16"/>
      <c r="C8" s="17"/>
      <c r="D8" s="17"/>
      <c r="E8" s="18"/>
      <c r="F8" s="17"/>
      <c r="G8" s="17"/>
      <c r="H8" s="17"/>
      <c r="I8" s="17"/>
      <c r="J8" s="3"/>
      <c r="K8" s="19"/>
    </row>
    <row r="9" spans="1:11" ht="15.75" hidden="1">
      <c r="A9" s="15"/>
      <c r="B9" s="16"/>
      <c r="C9" s="17"/>
      <c r="D9" s="17"/>
      <c r="E9" s="18"/>
      <c r="F9" s="17"/>
      <c r="G9" s="17"/>
      <c r="H9" s="17"/>
      <c r="I9" s="17"/>
      <c r="J9" s="3"/>
      <c r="K9" s="19"/>
    </row>
    <row r="10" spans="1:11" ht="15.75">
      <c r="A10" s="15"/>
      <c r="B10" s="16"/>
      <c r="C10" s="17"/>
      <c r="D10" s="17"/>
      <c r="E10" s="18"/>
      <c r="F10" s="17"/>
      <c r="G10" s="17"/>
      <c r="H10" s="17"/>
      <c r="I10" s="17"/>
      <c r="J10" s="3"/>
      <c r="K10" s="19" t="s">
        <v>672</v>
      </c>
    </row>
    <row r="11" spans="1:11" ht="15">
      <c r="A11" s="20"/>
      <c r="B11" s="501" t="s">
        <v>673</v>
      </c>
      <c r="C11" s="504" t="s">
        <v>674</v>
      </c>
      <c r="D11" s="501" t="s">
        <v>675</v>
      </c>
      <c r="E11" s="507" t="s">
        <v>676</v>
      </c>
      <c r="F11" s="21"/>
      <c r="G11" s="22"/>
      <c r="H11" s="504" t="s">
        <v>677</v>
      </c>
      <c r="I11" s="501" t="s">
        <v>678</v>
      </c>
      <c r="J11" s="504" t="s">
        <v>679</v>
      </c>
      <c r="K11" s="501" t="s">
        <v>680</v>
      </c>
    </row>
    <row r="12" spans="1:11" ht="15">
      <c r="A12" s="23"/>
      <c r="B12" s="502"/>
      <c r="C12" s="505"/>
      <c r="D12" s="502"/>
      <c r="E12" s="508"/>
      <c r="F12" s="509" t="s">
        <v>681</v>
      </c>
      <c r="G12" s="510"/>
      <c r="H12" s="505"/>
      <c r="I12" s="502"/>
      <c r="J12" s="505" t="s">
        <v>682</v>
      </c>
      <c r="K12" s="502"/>
    </row>
    <row r="13" spans="1:11" ht="15">
      <c r="A13" s="23"/>
      <c r="B13" s="502"/>
      <c r="C13" s="505"/>
      <c r="D13" s="502"/>
      <c r="E13" s="508"/>
      <c r="F13" s="509"/>
      <c r="G13" s="510"/>
      <c r="H13" s="505"/>
      <c r="I13" s="502"/>
      <c r="J13" s="505" t="s">
        <v>683</v>
      </c>
      <c r="K13" s="502"/>
    </row>
    <row r="14" spans="1:11" ht="15">
      <c r="A14" s="23"/>
      <c r="B14" s="502"/>
      <c r="C14" s="505"/>
      <c r="D14" s="502"/>
      <c r="E14" s="508"/>
      <c r="F14" s="511"/>
      <c r="G14" s="512"/>
      <c r="H14" s="505"/>
      <c r="I14" s="502"/>
      <c r="J14" s="505" t="s">
        <v>684</v>
      </c>
      <c r="K14" s="502"/>
    </row>
    <row r="15" spans="1:11" ht="15">
      <c r="A15" s="23"/>
      <c r="B15" s="502"/>
      <c r="C15" s="505"/>
      <c r="D15" s="502"/>
      <c r="E15" s="508"/>
      <c r="F15" s="513" t="s">
        <v>685</v>
      </c>
      <c r="G15" s="514" t="s">
        <v>686</v>
      </c>
      <c r="H15" s="505"/>
      <c r="I15" s="502"/>
      <c r="J15" s="505"/>
      <c r="K15" s="502"/>
    </row>
    <row r="16" spans="1:11" ht="15">
      <c r="A16" s="23"/>
      <c r="B16" s="502"/>
      <c r="C16" s="505"/>
      <c r="D16" s="502"/>
      <c r="E16" s="508"/>
      <c r="F16" s="502"/>
      <c r="G16" s="514"/>
      <c r="H16" s="505"/>
      <c r="I16" s="502"/>
      <c r="J16" s="505"/>
      <c r="K16" s="502"/>
    </row>
    <row r="17" spans="1:11" ht="15" hidden="1">
      <c r="A17" s="25"/>
      <c r="B17" s="503"/>
      <c r="C17" s="506"/>
      <c r="D17" s="503"/>
      <c r="E17" s="508"/>
      <c r="F17" s="26"/>
      <c r="G17" s="24"/>
      <c r="H17" s="506"/>
      <c r="I17" s="503"/>
      <c r="J17" s="506"/>
      <c r="K17" s="503"/>
    </row>
    <row r="18" spans="1:11" ht="30">
      <c r="A18" s="27" t="s">
        <v>687</v>
      </c>
      <c r="B18" s="28" t="s">
        <v>688</v>
      </c>
      <c r="C18" s="29">
        <v>1</v>
      </c>
      <c r="D18" s="30">
        <v>2</v>
      </c>
      <c r="E18" s="29">
        <v>3</v>
      </c>
      <c r="F18" s="31">
        <v>4</v>
      </c>
      <c r="G18" s="30">
        <v>5</v>
      </c>
      <c r="H18" s="29">
        <v>6</v>
      </c>
      <c r="I18" s="32" t="s">
        <v>689</v>
      </c>
      <c r="J18" s="29">
        <v>8</v>
      </c>
      <c r="K18" s="33" t="s">
        <v>690</v>
      </c>
    </row>
    <row r="19" spans="1:11" ht="15">
      <c r="A19" s="34"/>
      <c r="B19" s="35"/>
      <c r="C19" s="36"/>
      <c r="D19" s="37"/>
      <c r="E19" s="38"/>
      <c r="F19" s="39"/>
      <c r="G19" s="37"/>
      <c r="H19" s="36"/>
      <c r="I19" s="37"/>
      <c r="J19" s="40"/>
      <c r="K19" s="41"/>
    </row>
    <row r="20" spans="1:11" ht="31.5">
      <c r="A20" s="42" t="s">
        <v>691</v>
      </c>
      <c r="B20" s="43" t="s">
        <v>49</v>
      </c>
      <c r="C20" s="173">
        <f>C21+C37+C38+C39+C42</f>
        <v>1194579.06</v>
      </c>
      <c r="D20" s="173">
        <f>D21+D38+D39+D42</f>
        <v>164123.22999999998</v>
      </c>
      <c r="E20" s="173">
        <f>E21+E37+E38+E39+E42</f>
        <v>0</v>
      </c>
      <c r="F20" s="173">
        <f>F21+F37+F38+F39+F42</f>
        <v>0</v>
      </c>
      <c r="G20" s="173">
        <f>G21+G37+G38+G39+G42</f>
        <v>23465</v>
      </c>
      <c r="H20" s="173">
        <f>H21+H37+H38+H39+H42</f>
        <v>250</v>
      </c>
      <c r="I20" s="173">
        <f>C20+D20+E20+F20+G20+H20</f>
        <v>1382417.29</v>
      </c>
      <c r="J20" s="173">
        <f>J21+J37+J38+J39</f>
        <v>66674</v>
      </c>
      <c r="K20" s="173">
        <f t="shared" ref="K20:K60" si="0">I20-J20</f>
        <v>1315743.29</v>
      </c>
    </row>
    <row r="21" spans="1:11" ht="30">
      <c r="A21" s="44" t="s">
        <v>692</v>
      </c>
      <c r="B21" s="45" t="s">
        <v>693</v>
      </c>
      <c r="C21" s="47">
        <f t="shared" ref="C21:H21" si="1">C22+C36</f>
        <v>517504.06</v>
      </c>
      <c r="D21" s="47">
        <f t="shared" si="1"/>
        <v>62449.229999999996</v>
      </c>
      <c r="E21" s="55">
        <f t="shared" si="1"/>
        <v>0</v>
      </c>
      <c r="F21" s="55">
        <f t="shared" si="1"/>
        <v>0</v>
      </c>
      <c r="G21" s="47">
        <f>G22+G36</f>
        <v>0</v>
      </c>
      <c r="H21" s="47">
        <f t="shared" si="1"/>
        <v>0</v>
      </c>
      <c r="I21" s="48">
        <f t="shared" ref="I21:I60" si="2">C21+D21+E21+F21+G21+H21</f>
        <v>579953.29</v>
      </c>
      <c r="J21" s="47">
        <f>J22+J36</f>
        <v>0</v>
      </c>
      <c r="K21" s="48">
        <f t="shared" si="0"/>
        <v>579953.29</v>
      </c>
    </row>
    <row r="22" spans="1:11" ht="45">
      <c r="A22" s="44" t="s">
        <v>694</v>
      </c>
      <c r="B22" s="45" t="s">
        <v>695</v>
      </c>
      <c r="C22" s="47">
        <f t="shared" ref="C22:H22" si="3">C23+C25+C28+C29+C30+C35</f>
        <v>455569.06</v>
      </c>
      <c r="D22" s="47">
        <f t="shared" si="3"/>
        <v>0</v>
      </c>
      <c r="E22" s="55">
        <f t="shared" si="3"/>
        <v>0</v>
      </c>
      <c r="F22" s="55">
        <f t="shared" si="3"/>
        <v>0</v>
      </c>
      <c r="G22" s="47">
        <f t="shared" si="3"/>
        <v>0</v>
      </c>
      <c r="H22" s="47">
        <f t="shared" si="3"/>
        <v>0</v>
      </c>
      <c r="I22" s="48">
        <f t="shared" si="2"/>
        <v>455569.06</v>
      </c>
      <c r="J22" s="47">
        <f>J23+J25+J28+J29+J30+J35</f>
        <v>0</v>
      </c>
      <c r="K22" s="48">
        <f t="shared" si="0"/>
        <v>455569.06</v>
      </c>
    </row>
    <row r="23" spans="1:11" ht="60">
      <c r="A23" s="46" t="s">
        <v>696</v>
      </c>
      <c r="B23" s="45" t="s">
        <v>697</v>
      </c>
      <c r="C23" s="174">
        <f>C24</f>
        <v>5298</v>
      </c>
      <c r="D23" s="47"/>
      <c r="E23" s="55"/>
      <c r="F23" s="55"/>
      <c r="G23" s="47"/>
      <c r="H23" s="47"/>
      <c r="I23" s="48">
        <f t="shared" si="2"/>
        <v>5298</v>
      </c>
      <c r="J23" s="48"/>
      <c r="K23" s="48">
        <f t="shared" si="0"/>
        <v>5298</v>
      </c>
    </row>
    <row r="24" spans="1:11" ht="15">
      <c r="A24" s="46" t="s">
        <v>698</v>
      </c>
      <c r="B24" s="45" t="s">
        <v>699</v>
      </c>
      <c r="C24" s="48">
        <f>' anexa nr 2 2025 BL'!F18</f>
        <v>5298</v>
      </c>
      <c r="D24" s="49"/>
      <c r="E24" s="50"/>
      <c r="F24" s="50"/>
      <c r="G24" s="49"/>
      <c r="H24" s="49"/>
      <c r="I24" s="48">
        <f t="shared" si="2"/>
        <v>5298</v>
      </c>
      <c r="J24" s="48"/>
      <c r="K24" s="48">
        <f t="shared" si="0"/>
        <v>5298</v>
      </c>
    </row>
    <row r="25" spans="1:11" ht="60">
      <c r="A25" s="46" t="s">
        <v>700</v>
      </c>
      <c r="B25" s="45" t="s">
        <v>701</v>
      </c>
      <c r="C25" s="48">
        <f t="shared" ref="C25:H25" si="4">C26+C27</f>
        <v>213160.06</v>
      </c>
      <c r="D25" s="48">
        <f t="shared" si="4"/>
        <v>0</v>
      </c>
      <c r="E25" s="53">
        <f t="shared" si="4"/>
        <v>0</v>
      </c>
      <c r="F25" s="53">
        <f t="shared" si="4"/>
        <v>0</v>
      </c>
      <c r="G25" s="48">
        <f t="shared" si="4"/>
        <v>0</v>
      </c>
      <c r="H25" s="48">
        <f t="shared" si="4"/>
        <v>0</v>
      </c>
      <c r="I25" s="48">
        <f t="shared" si="2"/>
        <v>213160.06</v>
      </c>
      <c r="J25" s="48"/>
      <c r="K25" s="48">
        <f t="shared" si="0"/>
        <v>213160.06</v>
      </c>
    </row>
    <row r="26" spans="1:11" ht="60">
      <c r="A26" s="46" t="s">
        <v>702</v>
      </c>
      <c r="B26" s="45" t="s">
        <v>703</v>
      </c>
      <c r="C26" s="51">
        <f>' anexa nr 2 2025 BL'!F20</f>
        <v>1282</v>
      </c>
      <c r="D26" s="49"/>
      <c r="E26" s="50"/>
      <c r="F26" s="50"/>
      <c r="G26" s="49"/>
      <c r="H26" s="49"/>
      <c r="I26" s="48">
        <f t="shared" si="2"/>
        <v>1282</v>
      </c>
      <c r="J26" s="48"/>
      <c r="K26" s="48">
        <f t="shared" si="0"/>
        <v>1282</v>
      </c>
    </row>
    <row r="27" spans="1:11" ht="30">
      <c r="A27" s="46" t="s">
        <v>650</v>
      </c>
      <c r="B27" s="45" t="s">
        <v>704</v>
      </c>
      <c r="C27" s="48">
        <f>' anexa nr 2 2025 BL'!F22</f>
        <v>211878.06</v>
      </c>
      <c r="D27" s="49"/>
      <c r="E27" s="50"/>
      <c r="F27" s="50"/>
      <c r="G27" s="49"/>
      <c r="H27" s="49"/>
      <c r="I27" s="48">
        <f t="shared" si="2"/>
        <v>211878.06</v>
      </c>
      <c r="J27" s="48"/>
      <c r="K27" s="48">
        <f t="shared" si="0"/>
        <v>211878.06</v>
      </c>
    </row>
    <row r="28" spans="1:11" ht="45">
      <c r="A28" s="46" t="s">
        <v>705</v>
      </c>
      <c r="B28" s="45" t="s">
        <v>706</v>
      </c>
      <c r="C28" s="48"/>
      <c r="D28" s="49"/>
      <c r="E28" s="50"/>
      <c r="F28" s="50"/>
      <c r="G28" s="49"/>
      <c r="H28" s="49"/>
      <c r="I28" s="48">
        <f t="shared" si="2"/>
        <v>0</v>
      </c>
      <c r="J28" s="48"/>
      <c r="K28" s="48">
        <f t="shared" si="0"/>
        <v>0</v>
      </c>
    </row>
    <row r="29" spans="1:11" ht="30">
      <c r="A29" s="44" t="s">
        <v>707</v>
      </c>
      <c r="B29" s="45" t="s">
        <v>708</v>
      </c>
      <c r="C29" s="48">
        <f>' anexa nr 2 2025 BL'!F29</f>
        <v>92161</v>
      </c>
      <c r="D29" s="49"/>
      <c r="E29" s="50"/>
      <c r="F29" s="50"/>
      <c r="G29" s="49"/>
      <c r="H29" s="49"/>
      <c r="I29" s="48">
        <f t="shared" si="2"/>
        <v>92161</v>
      </c>
      <c r="J29" s="48"/>
      <c r="K29" s="48">
        <f t="shared" si="0"/>
        <v>92161</v>
      </c>
    </row>
    <row r="30" spans="1:11" ht="45">
      <c r="A30" s="44" t="s">
        <v>709</v>
      </c>
      <c r="B30" s="45" t="s">
        <v>710</v>
      </c>
      <c r="C30" s="48">
        <f t="shared" ref="C30:H30" si="5">C31+C32+C33+C34</f>
        <v>144353</v>
      </c>
      <c r="D30" s="48">
        <f t="shared" si="5"/>
        <v>0</v>
      </c>
      <c r="E30" s="53">
        <f t="shared" si="5"/>
        <v>0</v>
      </c>
      <c r="F30" s="53">
        <f t="shared" si="5"/>
        <v>0</v>
      </c>
      <c r="G30" s="48">
        <f t="shared" si="5"/>
        <v>0</v>
      </c>
      <c r="H30" s="48">
        <f t="shared" si="5"/>
        <v>0</v>
      </c>
      <c r="I30" s="48">
        <f t="shared" si="2"/>
        <v>144353</v>
      </c>
      <c r="J30" s="48"/>
      <c r="K30" s="48">
        <f t="shared" si="0"/>
        <v>144353</v>
      </c>
    </row>
    <row r="31" spans="1:11" s="108" customFormat="1" ht="42" customHeight="1">
      <c r="A31" s="52" t="s">
        <v>711</v>
      </c>
      <c r="B31" s="45" t="s">
        <v>712</v>
      </c>
      <c r="C31" s="47">
        <f>' anexa nr 2 2025 BL'!F41</f>
        <v>101029</v>
      </c>
      <c r="D31" s="48"/>
      <c r="E31" s="53"/>
      <c r="F31" s="53"/>
      <c r="G31" s="48"/>
      <c r="H31" s="48"/>
      <c r="I31" s="48">
        <f t="shared" si="2"/>
        <v>101029</v>
      </c>
      <c r="J31" s="48"/>
      <c r="K31" s="48">
        <f t="shared" si="0"/>
        <v>101029</v>
      </c>
    </row>
    <row r="32" spans="1:11" s="108" customFormat="1" ht="45">
      <c r="A32" s="52" t="s">
        <v>713</v>
      </c>
      <c r="B32" s="45" t="s">
        <v>714</v>
      </c>
      <c r="C32" s="47">
        <f>' anexa nr 2 2025 BL'!F49</f>
        <v>0</v>
      </c>
      <c r="D32" s="48"/>
      <c r="E32" s="53"/>
      <c r="F32" s="53"/>
      <c r="G32" s="48"/>
      <c r="H32" s="48"/>
      <c r="I32" s="48">
        <f t="shared" si="2"/>
        <v>0</v>
      </c>
      <c r="J32" s="48"/>
      <c r="K32" s="48">
        <f t="shared" si="0"/>
        <v>0</v>
      </c>
    </row>
    <row r="33" spans="1:11" s="108" customFormat="1" ht="30">
      <c r="A33" s="52" t="s">
        <v>715</v>
      </c>
      <c r="B33" s="45" t="s">
        <v>716</v>
      </c>
      <c r="C33" s="47">
        <f>' anexa nr 2 2025 BL'!F51</f>
        <v>251</v>
      </c>
      <c r="D33" s="48"/>
      <c r="E33" s="53"/>
      <c r="F33" s="53"/>
      <c r="G33" s="48"/>
      <c r="H33" s="48"/>
      <c r="I33" s="48">
        <f t="shared" si="2"/>
        <v>251</v>
      </c>
      <c r="J33" s="48"/>
      <c r="K33" s="48">
        <f t="shared" si="0"/>
        <v>251</v>
      </c>
    </row>
    <row r="34" spans="1:11" s="108" customFormat="1" ht="75">
      <c r="A34" s="52" t="s">
        <v>717</v>
      </c>
      <c r="B34" s="45" t="s">
        <v>718</v>
      </c>
      <c r="C34" s="48">
        <f>' anexa nr 2 2025 BL'!F54</f>
        <v>43073</v>
      </c>
      <c r="D34" s="48"/>
      <c r="E34" s="53"/>
      <c r="F34" s="53"/>
      <c r="G34" s="48"/>
      <c r="H34" s="48"/>
      <c r="I34" s="48">
        <f t="shared" si="2"/>
        <v>43073</v>
      </c>
      <c r="J34" s="48"/>
      <c r="K34" s="48">
        <f t="shared" si="0"/>
        <v>43073</v>
      </c>
    </row>
    <row r="35" spans="1:11" s="108" customFormat="1" ht="30">
      <c r="A35" s="54" t="s">
        <v>719</v>
      </c>
      <c r="B35" s="45" t="s">
        <v>720</v>
      </c>
      <c r="C35" s="48">
        <f>' anexa nr 2 2025 BL'!F60</f>
        <v>597</v>
      </c>
      <c r="D35" s="48"/>
      <c r="E35" s="53"/>
      <c r="F35" s="53"/>
      <c r="G35" s="48"/>
      <c r="H35" s="48"/>
      <c r="I35" s="48">
        <f t="shared" si="2"/>
        <v>597</v>
      </c>
      <c r="J35" s="48"/>
      <c r="K35" s="48">
        <f t="shared" si="0"/>
        <v>597</v>
      </c>
    </row>
    <row r="36" spans="1:11" ht="15">
      <c r="A36" s="44" t="s">
        <v>721</v>
      </c>
      <c r="B36" s="45" t="s">
        <v>722</v>
      </c>
      <c r="C36" s="47">
        <f>' anexa nr 2 2025 BL'!F63</f>
        <v>61935</v>
      </c>
      <c r="D36" s="47">
        <f>'Anexa nr. 3 2025'!D8</f>
        <v>62449.229999999996</v>
      </c>
      <c r="E36" s="55"/>
      <c r="F36" s="50"/>
      <c r="G36" s="49"/>
      <c r="H36" s="47">
        <f>'Anexa nr. 5 2025'!E13</f>
        <v>0</v>
      </c>
      <c r="I36" s="48">
        <f>C36+D36+E36+F36+G36+H36</f>
        <v>124384.23</v>
      </c>
      <c r="J36" s="48"/>
      <c r="K36" s="48">
        <f t="shared" si="0"/>
        <v>124384.23</v>
      </c>
    </row>
    <row r="37" spans="1:11" ht="19.5" customHeight="1">
      <c r="A37" s="44" t="s">
        <v>723</v>
      </c>
      <c r="B37" s="45" t="s">
        <v>724</v>
      </c>
      <c r="C37" s="47">
        <f>' anexa nr 2 2025 BL'!F102</f>
        <v>1511</v>
      </c>
      <c r="D37" s="170" t="s">
        <v>1008</v>
      </c>
      <c r="E37" s="170"/>
      <c r="F37" s="170"/>
      <c r="G37" s="170"/>
      <c r="H37" s="170"/>
      <c r="I37" s="48">
        <f>C37</f>
        <v>1511</v>
      </c>
      <c r="J37" s="48"/>
      <c r="K37" s="48">
        <f t="shared" si="0"/>
        <v>1511</v>
      </c>
    </row>
    <row r="38" spans="1:11" ht="15">
      <c r="A38" s="44" t="s">
        <v>725</v>
      </c>
      <c r="B38" s="45" t="s">
        <v>726</v>
      </c>
      <c r="C38" s="47">
        <f>' anexa nr 2 2025 BL'!F108</f>
        <v>0</v>
      </c>
      <c r="D38" s="47"/>
      <c r="E38" s="55"/>
      <c r="F38" s="50">
        <v>0</v>
      </c>
      <c r="G38" s="49">
        <f>'Anexa nr. 4 2023'!E12</f>
        <v>23465</v>
      </c>
      <c r="H38" s="49"/>
      <c r="I38" s="48">
        <f>C38+D38+E38+F38+G38+H38</f>
        <v>23465</v>
      </c>
      <c r="J38" s="48"/>
      <c r="K38" s="48">
        <f t="shared" si="0"/>
        <v>23465</v>
      </c>
    </row>
    <row r="39" spans="1:11" ht="15">
      <c r="A39" s="44" t="s">
        <v>727</v>
      </c>
      <c r="B39" s="45" t="s">
        <v>728</v>
      </c>
      <c r="C39" s="47">
        <f t="shared" ref="C39:H39" si="6">C40+C41</f>
        <v>455519</v>
      </c>
      <c r="D39" s="47">
        <f t="shared" si="6"/>
        <v>101674</v>
      </c>
      <c r="E39" s="55">
        <f t="shared" si="6"/>
        <v>0</v>
      </c>
      <c r="F39" s="55">
        <f t="shared" si="6"/>
        <v>0</v>
      </c>
      <c r="G39" s="47">
        <f t="shared" si="6"/>
        <v>0</v>
      </c>
      <c r="H39" s="47">
        <f t="shared" si="6"/>
        <v>0</v>
      </c>
      <c r="I39" s="48">
        <f t="shared" si="2"/>
        <v>557193</v>
      </c>
      <c r="J39" s="47">
        <f>J40+J41</f>
        <v>66674</v>
      </c>
      <c r="K39" s="48">
        <f t="shared" si="0"/>
        <v>490519</v>
      </c>
    </row>
    <row r="40" spans="1:11" ht="30">
      <c r="A40" s="46" t="s">
        <v>729</v>
      </c>
      <c r="B40" s="45" t="s">
        <v>730</v>
      </c>
      <c r="C40" s="47">
        <f>' anexa nr 2 2025 BL'!F118</f>
        <v>420866</v>
      </c>
      <c r="D40" s="49"/>
      <c r="E40" s="50"/>
      <c r="F40" s="50"/>
      <c r="G40" s="49"/>
      <c r="H40" s="49">
        <f>'Anexa nr. 5 2025'!E14</f>
        <v>0</v>
      </c>
      <c r="I40" s="48">
        <f t="shared" si="2"/>
        <v>420866</v>
      </c>
      <c r="J40" s="48"/>
      <c r="K40" s="48">
        <f t="shared" si="0"/>
        <v>420866</v>
      </c>
    </row>
    <row r="41" spans="1:11" ht="30">
      <c r="A41" s="46" t="s">
        <v>731</v>
      </c>
      <c r="B41" s="45" t="s">
        <v>732</v>
      </c>
      <c r="C41" s="47">
        <f>' anexa nr 2 2025 BL'!F147</f>
        <v>34653</v>
      </c>
      <c r="D41" s="48">
        <f>'Anexa nr. 3 2025'!D11</f>
        <v>101674</v>
      </c>
      <c r="E41" s="50"/>
      <c r="F41" s="50"/>
      <c r="G41" s="49"/>
      <c r="H41" s="48"/>
      <c r="I41" s="48">
        <f>C41+D41+E41+F41+G41+H41</f>
        <v>136327</v>
      </c>
      <c r="J41" s="48">
        <f>J50</f>
        <v>66674</v>
      </c>
      <c r="K41" s="48">
        <f>I41-J41</f>
        <v>69653</v>
      </c>
    </row>
    <row r="42" spans="1:11" s="108" customFormat="1" ht="45">
      <c r="A42" s="54" t="s">
        <v>733</v>
      </c>
      <c r="B42" s="45" t="s">
        <v>734</v>
      </c>
      <c r="C42" s="47">
        <f>' anexa nr 2 2025 BL'!F156+' anexa nr 2 2025 BL'!F159</f>
        <v>220045</v>
      </c>
      <c r="D42" s="48">
        <f>'Anexa nr. 3 2025'!D12</f>
        <v>0</v>
      </c>
      <c r="E42" s="53"/>
      <c r="F42" s="53"/>
      <c r="G42" s="48"/>
      <c r="H42" s="48">
        <f>'Anexa nr. 5 2025'!E15</f>
        <v>250</v>
      </c>
      <c r="I42" s="48">
        <f t="shared" si="2"/>
        <v>220295</v>
      </c>
      <c r="J42" s="48"/>
      <c r="K42" s="48">
        <f t="shared" si="0"/>
        <v>220295</v>
      </c>
    </row>
    <row r="43" spans="1:11" s="58" customFormat="1" ht="31.5">
      <c r="A43" s="56" t="s">
        <v>735</v>
      </c>
      <c r="B43" s="57">
        <v>24</v>
      </c>
      <c r="C43" s="175">
        <f t="shared" ref="C43:H43" si="7">C44+C55+C56+C59+C60</f>
        <v>1196890.06</v>
      </c>
      <c r="D43" s="175">
        <f t="shared" si="7"/>
        <v>165251.16</v>
      </c>
      <c r="E43" s="176">
        <f t="shared" si="7"/>
        <v>0</v>
      </c>
      <c r="F43" s="176">
        <f t="shared" si="7"/>
        <v>0</v>
      </c>
      <c r="G43" s="175">
        <f t="shared" si="7"/>
        <v>23465</v>
      </c>
      <c r="H43" s="175">
        <f t="shared" si="7"/>
        <v>250</v>
      </c>
      <c r="I43" s="177">
        <f t="shared" si="2"/>
        <v>1385856.22</v>
      </c>
      <c r="J43" s="175">
        <f>J44+J55+J56+J59+J60</f>
        <v>66674</v>
      </c>
      <c r="K43" s="177">
        <f t="shared" si="0"/>
        <v>1319182.22</v>
      </c>
    </row>
    <row r="44" spans="1:11" s="58" customFormat="1" ht="31.5">
      <c r="A44" s="56" t="s">
        <v>736</v>
      </c>
      <c r="B44" s="57">
        <v>25</v>
      </c>
      <c r="C44" s="175">
        <f t="shared" ref="C44:H44" si="8">C45+C46+C47+C48+C49+C50+C51+C52+C53+C54</f>
        <v>1095059.53</v>
      </c>
      <c r="D44" s="175">
        <f t="shared" si="8"/>
        <v>148826.16</v>
      </c>
      <c r="E44" s="176">
        <f t="shared" si="8"/>
        <v>0</v>
      </c>
      <c r="F44" s="176">
        <f t="shared" si="8"/>
        <v>0</v>
      </c>
      <c r="G44" s="175">
        <f t="shared" si="8"/>
        <v>23465</v>
      </c>
      <c r="H44" s="175">
        <f t="shared" si="8"/>
        <v>250</v>
      </c>
      <c r="I44" s="177">
        <f t="shared" si="2"/>
        <v>1267600.69</v>
      </c>
      <c r="J44" s="175">
        <f>J45+J46+J47+J48+J49+J50+J51+J52+J53+J54</f>
        <v>66674</v>
      </c>
      <c r="K44" s="177">
        <f t="shared" si="0"/>
        <v>1200926.69</v>
      </c>
    </row>
    <row r="45" spans="1:11" ht="15">
      <c r="A45" s="59" t="s">
        <v>737</v>
      </c>
      <c r="B45" s="60">
        <v>26</v>
      </c>
      <c r="C45" s="47">
        <f>' anexa nr 2 2025 BL'!F171</f>
        <v>127499.29000000001</v>
      </c>
      <c r="D45" s="47">
        <f>78260.8+2430-46</f>
        <v>80644.800000000003</v>
      </c>
      <c r="E45" s="55"/>
      <c r="F45" s="50"/>
      <c r="G45" s="49"/>
      <c r="H45" s="47"/>
      <c r="I45" s="48">
        <f t="shared" si="2"/>
        <v>208144.09000000003</v>
      </c>
      <c r="J45" s="48"/>
      <c r="K45" s="48">
        <f t="shared" si="0"/>
        <v>208144.09000000003</v>
      </c>
    </row>
    <row r="46" spans="1:11" ht="15">
      <c r="A46" s="59" t="s">
        <v>738</v>
      </c>
      <c r="B46" s="60">
        <v>27</v>
      </c>
      <c r="C46" s="47">
        <f>' anexa nr 2 2025 BL'!F172</f>
        <v>140302.71000000002</v>
      </c>
      <c r="D46" s="47">
        <f>54901.66+25+4000+52+2100+100+6265.5+40+131.2</f>
        <v>67615.360000000001</v>
      </c>
      <c r="E46" s="55"/>
      <c r="F46" s="50"/>
      <c r="G46" s="49"/>
      <c r="H46" s="47"/>
      <c r="I46" s="48">
        <f t="shared" si="2"/>
        <v>207918.07</v>
      </c>
      <c r="J46" s="48"/>
      <c r="K46" s="48">
        <f t="shared" si="0"/>
        <v>207918.07</v>
      </c>
    </row>
    <row r="47" spans="1:11" ht="15">
      <c r="A47" s="46" t="s">
        <v>739</v>
      </c>
      <c r="B47" s="60">
        <v>28</v>
      </c>
      <c r="C47" s="47">
        <f>' anexa nr 2 2025 BL'!F174</f>
        <v>12068</v>
      </c>
      <c r="D47" s="47"/>
      <c r="E47" s="55"/>
      <c r="F47" s="50"/>
      <c r="G47" s="49"/>
      <c r="H47" s="49"/>
      <c r="I47" s="48">
        <f t="shared" si="2"/>
        <v>12068</v>
      </c>
      <c r="J47" s="48"/>
      <c r="K47" s="48">
        <f t="shared" si="0"/>
        <v>12068</v>
      </c>
    </row>
    <row r="48" spans="1:11" ht="15">
      <c r="A48" s="59" t="s">
        <v>740</v>
      </c>
      <c r="B48" s="60">
        <v>29</v>
      </c>
      <c r="C48" s="47">
        <f>' anexa nr 2 2025 BL'!F178</f>
        <v>14294.83</v>
      </c>
      <c r="D48" s="49"/>
      <c r="E48" s="50"/>
      <c r="F48" s="50"/>
      <c r="G48" s="49"/>
      <c r="H48" s="49"/>
      <c r="I48" s="48">
        <f t="shared" si="2"/>
        <v>14294.83</v>
      </c>
      <c r="J48" s="48"/>
      <c r="K48" s="48">
        <f t="shared" si="0"/>
        <v>14294.83</v>
      </c>
    </row>
    <row r="49" spans="1:12" ht="15">
      <c r="A49" s="46" t="s">
        <v>741</v>
      </c>
      <c r="B49" s="60">
        <v>30</v>
      </c>
      <c r="C49" s="47">
        <f>' anexa nr 2 2025 BL'!F180</f>
        <v>0</v>
      </c>
      <c r="D49" s="49"/>
      <c r="E49" s="50"/>
      <c r="F49" s="50"/>
      <c r="G49" s="49"/>
      <c r="H49" s="49"/>
      <c r="I49" s="48">
        <f t="shared" si="2"/>
        <v>0</v>
      </c>
      <c r="J49" s="48"/>
      <c r="K49" s="48">
        <f t="shared" si="0"/>
        <v>0</v>
      </c>
    </row>
    <row r="50" spans="1:12" ht="31.5" customHeight="1">
      <c r="A50" s="59" t="s">
        <v>742</v>
      </c>
      <c r="B50" s="60">
        <v>31</v>
      </c>
      <c r="C50" s="47">
        <f>' anexa nr 2 2025 BL'!F182</f>
        <v>69278</v>
      </c>
      <c r="D50" s="47"/>
      <c r="E50" s="55"/>
      <c r="F50" s="50"/>
      <c r="G50" s="49"/>
      <c r="H50" s="49"/>
      <c r="I50" s="48">
        <f t="shared" si="2"/>
        <v>69278</v>
      </c>
      <c r="J50" s="48">
        <f>C50-389-1370-845</f>
        <v>66674</v>
      </c>
      <c r="K50" s="48">
        <f t="shared" si="0"/>
        <v>2604</v>
      </c>
    </row>
    <row r="51" spans="1:12" ht="15">
      <c r="A51" s="46" t="s">
        <v>743</v>
      </c>
      <c r="B51" s="60">
        <v>32</v>
      </c>
      <c r="C51" s="47">
        <f>' anexa nr 2 2025 BL'!F194</f>
        <v>23411.200000000001</v>
      </c>
      <c r="D51" s="47"/>
      <c r="E51" s="50"/>
      <c r="F51" s="50"/>
      <c r="G51" s="49"/>
      <c r="H51" s="49"/>
      <c r="I51" s="48">
        <f t="shared" si="2"/>
        <v>23411.200000000001</v>
      </c>
      <c r="J51" s="48"/>
      <c r="K51" s="48">
        <f t="shared" si="0"/>
        <v>23411.200000000001</v>
      </c>
    </row>
    <row r="52" spans="1:12" ht="60">
      <c r="A52" s="61" t="s">
        <v>744</v>
      </c>
      <c r="B52" s="60">
        <v>33</v>
      </c>
      <c r="C52" s="47">
        <f>' anexa nr 2 2025 BL'!F206+' anexa nr 2 2025 BL'!F212+' anexa nr 2 2025 BL'!F221+' anexa nr 2 2025 BL'!F222</f>
        <v>635485</v>
      </c>
      <c r="D52" s="47"/>
      <c r="E52" s="50"/>
      <c r="F52" s="50"/>
      <c r="G52" s="134">
        <f>'Anexa nr. 4 2023'!E14</f>
        <v>23465</v>
      </c>
      <c r="H52" s="48">
        <f>'Anexa nr. 5 2025'!E16</f>
        <v>250</v>
      </c>
      <c r="I52" s="48">
        <f t="shared" si="2"/>
        <v>659200</v>
      </c>
      <c r="J52" s="48"/>
      <c r="K52" s="48">
        <f t="shared" si="0"/>
        <v>659200</v>
      </c>
    </row>
    <row r="53" spans="1:12" ht="15">
      <c r="A53" s="46" t="s">
        <v>745</v>
      </c>
      <c r="B53" s="60">
        <v>34</v>
      </c>
      <c r="C53" s="47">
        <f>' anexa nr 2 2025 BL'!F207</f>
        <v>43019</v>
      </c>
      <c r="D53" s="49"/>
      <c r="E53" s="50"/>
      <c r="F53" s="50"/>
      <c r="G53" s="49"/>
      <c r="H53" s="49"/>
      <c r="I53" s="48">
        <f t="shared" si="2"/>
        <v>43019</v>
      </c>
      <c r="J53" s="48"/>
      <c r="K53" s="48">
        <f t="shared" si="0"/>
        <v>43019</v>
      </c>
    </row>
    <row r="54" spans="1:12" ht="15">
      <c r="A54" s="46" t="s">
        <v>746</v>
      </c>
      <c r="B54" s="60">
        <v>35</v>
      </c>
      <c r="C54" s="47">
        <f>' anexa nr 2 2025 BL'!F213</f>
        <v>29701.5</v>
      </c>
      <c r="D54" s="49">
        <f>510+50+6</f>
        <v>566</v>
      </c>
      <c r="E54" s="50"/>
      <c r="F54" s="50"/>
      <c r="G54" s="49"/>
      <c r="H54" s="49"/>
      <c r="I54" s="48">
        <f t="shared" si="2"/>
        <v>30267.5</v>
      </c>
      <c r="J54" s="48"/>
      <c r="K54" s="48">
        <f t="shared" si="0"/>
        <v>30267.5</v>
      </c>
    </row>
    <row r="55" spans="1:12" ht="15">
      <c r="A55" s="46" t="s">
        <v>747</v>
      </c>
      <c r="B55" s="60">
        <v>36</v>
      </c>
      <c r="C55" s="47">
        <f>' anexa nr 2 2025 BL'!F223</f>
        <v>83773</v>
      </c>
      <c r="D55" s="47">
        <f>'Anexa nr. 3 2025'!D40-'anexa nr 1 2025'!D52</f>
        <v>16425</v>
      </c>
      <c r="E55" s="55"/>
      <c r="F55" s="55">
        <v>0</v>
      </c>
      <c r="G55" s="47">
        <f>'Anexa nr. 4 2023'!E15</f>
        <v>0</v>
      </c>
      <c r="H55" s="47"/>
      <c r="I55" s="48">
        <f t="shared" si="2"/>
        <v>100198</v>
      </c>
      <c r="J55" s="48"/>
      <c r="K55" s="48">
        <f t="shared" si="0"/>
        <v>100198</v>
      </c>
    </row>
    <row r="56" spans="1:12" ht="30">
      <c r="A56" s="46" t="s">
        <v>748</v>
      </c>
      <c r="B56" s="60">
        <v>37</v>
      </c>
      <c r="C56" s="47">
        <f t="shared" ref="C56:H56" si="9">C57+C58</f>
        <v>18488</v>
      </c>
      <c r="D56" s="47">
        <f t="shared" si="9"/>
        <v>0</v>
      </c>
      <c r="E56" s="55">
        <f t="shared" si="9"/>
        <v>0</v>
      </c>
      <c r="F56" s="55">
        <f t="shared" si="9"/>
        <v>0</v>
      </c>
      <c r="G56" s="47">
        <f t="shared" si="9"/>
        <v>0</v>
      </c>
      <c r="H56" s="47">
        <f t="shared" si="9"/>
        <v>0</v>
      </c>
      <c r="I56" s="48">
        <f t="shared" si="2"/>
        <v>18488</v>
      </c>
      <c r="J56" s="48"/>
      <c r="K56" s="48">
        <f t="shared" si="0"/>
        <v>18488</v>
      </c>
    </row>
    <row r="57" spans="1:12" ht="15">
      <c r="A57" s="46" t="s">
        <v>749</v>
      </c>
      <c r="B57" s="60">
        <v>38</v>
      </c>
      <c r="C57" s="47">
        <f>' anexa nr 2 2025 BL'!F235</f>
        <v>0</v>
      </c>
      <c r="D57" s="49"/>
      <c r="E57" s="50"/>
      <c r="F57" s="50"/>
      <c r="G57" s="49"/>
      <c r="H57" s="49"/>
      <c r="I57" s="48">
        <f t="shared" si="2"/>
        <v>0</v>
      </c>
      <c r="J57" s="48"/>
      <c r="K57" s="48">
        <f t="shared" si="0"/>
        <v>0</v>
      </c>
    </row>
    <row r="58" spans="1:12" ht="30">
      <c r="A58" s="62" t="s">
        <v>750</v>
      </c>
      <c r="B58" s="60">
        <v>39</v>
      </c>
      <c r="C58" s="47">
        <f>' anexa nr 2 2025 BL'!F238</f>
        <v>18488</v>
      </c>
      <c r="D58" s="47"/>
      <c r="E58" s="55"/>
      <c r="F58" s="50"/>
      <c r="G58" s="49"/>
      <c r="H58" s="49"/>
      <c r="I58" s="48">
        <f t="shared" si="2"/>
        <v>18488</v>
      </c>
      <c r="J58" s="48"/>
      <c r="K58" s="48">
        <f t="shared" si="0"/>
        <v>18488</v>
      </c>
    </row>
    <row r="59" spans="1:12" ht="45">
      <c r="A59" s="63" t="s">
        <v>751</v>
      </c>
      <c r="B59" s="60">
        <v>40</v>
      </c>
      <c r="C59" s="47">
        <f>' anexa nr 2 2025 BL'!F242</f>
        <v>-430.47</v>
      </c>
      <c r="D59" s="47"/>
      <c r="E59" s="55"/>
      <c r="F59" s="50"/>
      <c r="G59" s="49"/>
      <c r="H59" s="49"/>
      <c r="I59" s="48">
        <f t="shared" si="2"/>
        <v>-430.47</v>
      </c>
      <c r="J59" s="48"/>
      <c r="K59" s="48">
        <f t="shared" si="0"/>
        <v>-430.47</v>
      </c>
    </row>
    <row r="60" spans="1:12" ht="15">
      <c r="A60" s="63" t="s">
        <v>637</v>
      </c>
      <c r="B60" s="60">
        <v>41</v>
      </c>
      <c r="C60" s="47"/>
      <c r="D60" s="47"/>
      <c r="E60" s="55"/>
      <c r="F60" s="50"/>
      <c r="G60" s="49"/>
      <c r="H60" s="49"/>
      <c r="I60" s="48">
        <f t="shared" si="2"/>
        <v>0</v>
      </c>
      <c r="J60" s="48"/>
      <c r="K60" s="48">
        <f t="shared" si="0"/>
        <v>0</v>
      </c>
    </row>
    <row r="61" spans="1:12" ht="48.75">
      <c r="A61" s="46" t="s">
        <v>752</v>
      </c>
      <c r="B61" s="60">
        <v>42</v>
      </c>
      <c r="C61" s="47">
        <f>C20-C43</f>
        <v>-2311</v>
      </c>
      <c r="D61" s="47">
        <f t="shared" ref="D61:K61" si="10">D20-D43</f>
        <v>-1127.9300000000221</v>
      </c>
      <c r="E61" s="55">
        <f t="shared" si="10"/>
        <v>0</v>
      </c>
      <c r="F61" s="55">
        <f t="shared" si="10"/>
        <v>0</v>
      </c>
      <c r="G61" s="47">
        <f t="shared" si="10"/>
        <v>0</v>
      </c>
      <c r="H61" s="47">
        <f t="shared" si="10"/>
        <v>0</v>
      </c>
      <c r="I61" s="47">
        <f t="shared" si="10"/>
        <v>-3438.9299999999348</v>
      </c>
      <c r="J61" s="47">
        <f t="shared" si="10"/>
        <v>0</v>
      </c>
      <c r="K61" s="47">
        <f t="shared" si="10"/>
        <v>-3438.9299999999348</v>
      </c>
      <c r="L61" s="481"/>
    </row>
    <row r="62" spans="1:12" ht="15.75" hidden="1">
      <c r="A62" s="64" t="s">
        <v>753</v>
      </c>
      <c r="B62" s="28" t="s">
        <v>754</v>
      </c>
      <c r="C62" s="178">
        <f t="shared" ref="C62:H62" si="11">C63+C66+C69+C72+C75+C78+C81+C84+C87+C90+C93+C96+C99+C102+C105+C108+C111</f>
        <v>286174</v>
      </c>
      <c r="D62" s="65">
        <f t="shared" si="11"/>
        <v>41329</v>
      </c>
      <c r="E62" s="65">
        <f t="shared" si="11"/>
        <v>0</v>
      </c>
      <c r="F62" s="65">
        <f t="shared" si="11"/>
        <v>0</v>
      </c>
      <c r="G62" s="65">
        <f t="shared" si="11"/>
        <v>40876</v>
      </c>
      <c r="H62" s="65">
        <f t="shared" si="11"/>
        <v>0</v>
      </c>
      <c r="I62" s="134">
        <f t="shared" ref="I62:I113" si="12">C62+D62+E62+F62+G62+H62</f>
        <v>368379</v>
      </c>
      <c r="J62" s="65">
        <f>J63+J66+J69+J72+J75+J78+J81+J84+J87+J90+J93+J96+J99+J102+J105+J108+J111</f>
        <v>15391</v>
      </c>
      <c r="K62" s="134">
        <f t="shared" ref="K62:K113" si="13">I62-J62</f>
        <v>352988</v>
      </c>
    </row>
    <row r="63" spans="1:12" ht="31.5" hidden="1">
      <c r="A63" s="42" t="s">
        <v>92</v>
      </c>
      <c r="B63" s="28" t="s">
        <v>755</v>
      </c>
      <c r="C63" s="179">
        <f t="shared" ref="C63:H63" si="14">C64+C65</f>
        <v>13077</v>
      </c>
      <c r="D63" s="66">
        <f t="shared" si="14"/>
        <v>0</v>
      </c>
      <c r="E63" s="66">
        <f t="shared" si="14"/>
        <v>0</v>
      </c>
      <c r="F63" s="66">
        <f t="shared" si="14"/>
        <v>0</v>
      </c>
      <c r="G63" s="66">
        <f t="shared" si="14"/>
        <v>0</v>
      </c>
      <c r="H63" s="66">
        <f t="shared" si="14"/>
        <v>0</v>
      </c>
      <c r="I63" s="134">
        <f t="shared" si="12"/>
        <v>13077</v>
      </c>
      <c r="J63" s="66">
        <f>J64+J65</f>
        <v>0</v>
      </c>
      <c r="K63" s="134">
        <f t="shared" si="13"/>
        <v>13077</v>
      </c>
    </row>
    <row r="64" spans="1:12" ht="30" hidden="1">
      <c r="A64" s="180" t="s">
        <v>756</v>
      </c>
      <c r="B64" s="28" t="s">
        <v>757</v>
      </c>
      <c r="C64" s="179">
        <v>12337</v>
      </c>
      <c r="D64" s="66"/>
      <c r="E64" s="66"/>
      <c r="F64" s="66"/>
      <c r="G64" s="66"/>
      <c r="H64" s="66"/>
      <c r="I64" s="134">
        <f t="shared" si="12"/>
        <v>12337</v>
      </c>
      <c r="J64" s="67"/>
      <c r="K64" s="134">
        <f t="shared" si="13"/>
        <v>12337</v>
      </c>
    </row>
    <row r="65" spans="1:11" ht="30" hidden="1">
      <c r="A65" s="180" t="s">
        <v>758</v>
      </c>
      <c r="B65" s="28" t="s">
        <v>759</v>
      </c>
      <c r="C65" s="179">
        <v>740</v>
      </c>
      <c r="D65" s="66"/>
      <c r="E65" s="66"/>
      <c r="F65" s="66"/>
      <c r="G65" s="66"/>
      <c r="H65" s="66"/>
      <c r="I65" s="134">
        <f t="shared" si="12"/>
        <v>740</v>
      </c>
      <c r="J65" s="67"/>
      <c r="K65" s="134">
        <f t="shared" si="13"/>
        <v>740</v>
      </c>
    </row>
    <row r="66" spans="1:11" ht="31.5" hidden="1">
      <c r="A66" s="42" t="s">
        <v>369</v>
      </c>
      <c r="B66" s="28" t="s">
        <v>760</v>
      </c>
      <c r="C66" s="179">
        <f>C67+C68</f>
        <v>1368</v>
      </c>
      <c r="D66" s="66">
        <f>D67+D68</f>
        <v>668</v>
      </c>
      <c r="E66" s="66">
        <f>E67+E68</f>
        <v>0</v>
      </c>
      <c r="F66" s="66">
        <f>F67+F68</f>
        <v>0</v>
      </c>
      <c r="G66" s="66">
        <f>G67+G68</f>
        <v>0</v>
      </c>
      <c r="H66" s="66"/>
      <c r="I66" s="134">
        <f t="shared" si="12"/>
        <v>2036</v>
      </c>
      <c r="J66" s="67">
        <f>J67+J68</f>
        <v>668</v>
      </c>
      <c r="K66" s="134">
        <f t="shared" si="13"/>
        <v>1368</v>
      </c>
    </row>
    <row r="67" spans="1:11" ht="30" hidden="1">
      <c r="A67" s="180" t="s">
        <v>756</v>
      </c>
      <c r="B67" s="28" t="s">
        <v>761</v>
      </c>
      <c r="C67" s="179">
        <v>1368</v>
      </c>
      <c r="D67" s="66">
        <v>660</v>
      </c>
      <c r="E67" s="66"/>
      <c r="F67" s="66"/>
      <c r="G67" s="66"/>
      <c r="H67" s="66"/>
      <c r="I67" s="134">
        <f t="shared" si="12"/>
        <v>2028</v>
      </c>
      <c r="J67" s="67">
        <v>660</v>
      </c>
      <c r="K67" s="134">
        <f t="shared" si="13"/>
        <v>1368</v>
      </c>
    </row>
    <row r="68" spans="1:11" ht="30" hidden="1">
      <c r="A68" s="180" t="s">
        <v>758</v>
      </c>
      <c r="B68" s="28" t="s">
        <v>762</v>
      </c>
      <c r="C68" s="179"/>
      <c r="D68" s="66">
        <v>8</v>
      </c>
      <c r="E68" s="66"/>
      <c r="F68" s="66"/>
      <c r="G68" s="66"/>
      <c r="H68" s="66"/>
      <c r="I68" s="134">
        <f t="shared" si="12"/>
        <v>8</v>
      </c>
      <c r="J68" s="67">
        <v>8</v>
      </c>
      <c r="K68" s="134">
        <f t="shared" si="13"/>
        <v>0</v>
      </c>
    </row>
    <row r="69" spans="1:11" ht="47.25" hidden="1">
      <c r="A69" s="42" t="s">
        <v>101</v>
      </c>
      <c r="B69" s="28" t="s">
        <v>763</v>
      </c>
      <c r="C69" s="179">
        <f t="shared" ref="C69:H69" si="15">C70+C71</f>
        <v>3501</v>
      </c>
      <c r="D69" s="66">
        <f t="shared" si="15"/>
        <v>0</v>
      </c>
      <c r="E69" s="66">
        <f t="shared" si="15"/>
        <v>0</v>
      </c>
      <c r="F69" s="66">
        <f t="shared" si="15"/>
        <v>0</v>
      </c>
      <c r="G69" s="66">
        <f t="shared" si="15"/>
        <v>0</v>
      </c>
      <c r="H69" s="66">
        <f t="shared" si="15"/>
        <v>0</v>
      </c>
      <c r="I69" s="134">
        <f t="shared" si="12"/>
        <v>3501</v>
      </c>
      <c r="J69" s="67"/>
      <c r="K69" s="134">
        <f t="shared" si="13"/>
        <v>3501</v>
      </c>
    </row>
    <row r="70" spans="1:11" ht="30" hidden="1">
      <c r="A70" s="180" t="s">
        <v>756</v>
      </c>
      <c r="B70" s="28" t="s">
        <v>764</v>
      </c>
      <c r="C70" s="179">
        <v>3501</v>
      </c>
      <c r="D70" s="66"/>
      <c r="E70" s="66"/>
      <c r="F70" s="66"/>
      <c r="G70" s="66"/>
      <c r="H70" s="66"/>
      <c r="I70" s="134">
        <f t="shared" si="12"/>
        <v>3501</v>
      </c>
      <c r="J70" s="67"/>
      <c r="K70" s="134">
        <f t="shared" si="13"/>
        <v>3501</v>
      </c>
    </row>
    <row r="71" spans="1:11" ht="30" hidden="1">
      <c r="A71" s="180" t="s">
        <v>758</v>
      </c>
      <c r="B71" s="28" t="s">
        <v>592</v>
      </c>
      <c r="C71" s="179"/>
      <c r="D71" s="66"/>
      <c r="E71" s="66"/>
      <c r="F71" s="66"/>
      <c r="G71" s="66"/>
      <c r="H71" s="66"/>
      <c r="I71" s="134">
        <f t="shared" si="12"/>
        <v>0</v>
      </c>
      <c r="J71" s="67"/>
      <c r="K71" s="134">
        <f t="shared" si="13"/>
        <v>0</v>
      </c>
    </row>
    <row r="72" spans="1:11" ht="63" hidden="1">
      <c r="A72" s="42" t="s">
        <v>765</v>
      </c>
      <c r="B72" s="28" t="s">
        <v>766</v>
      </c>
      <c r="C72" s="179">
        <f t="shared" ref="C72:H72" si="16">C73+C74</f>
        <v>0</v>
      </c>
      <c r="D72" s="66">
        <f t="shared" si="16"/>
        <v>0</v>
      </c>
      <c r="E72" s="66">
        <f t="shared" si="16"/>
        <v>0</v>
      </c>
      <c r="F72" s="66">
        <f t="shared" si="16"/>
        <v>0</v>
      </c>
      <c r="G72" s="66">
        <f t="shared" si="16"/>
        <v>0</v>
      </c>
      <c r="H72" s="66">
        <f t="shared" si="16"/>
        <v>0</v>
      </c>
      <c r="I72" s="134">
        <f t="shared" si="12"/>
        <v>0</v>
      </c>
      <c r="J72" s="67"/>
      <c r="K72" s="134">
        <f t="shared" si="13"/>
        <v>0</v>
      </c>
    </row>
    <row r="73" spans="1:11" ht="30" hidden="1">
      <c r="A73" s="180" t="s">
        <v>756</v>
      </c>
      <c r="B73" s="28" t="s">
        <v>767</v>
      </c>
      <c r="C73" s="179">
        <v>0</v>
      </c>
      <c r="D73" s="66"/>
      <c r="E73" s="66"/>
      <c r="F73" s="66"/>
      <c r="G73" s="66"/>
      <c r="H73" s="66"/>
      <c r="I73" s="134">
        <f t="shared" si="12"/>
        <v>0</v>
      </c>
      <c r="J73" s="67"/>
      <c r="K73" s="134">
        <f t="shared" si="13"/>
        <v>0</v>
      </c>
    </row>
    <row r="74" spans="1:11" ht="30" hidden="1">
      <c r="A74" s="180" t="s">
        <v>758</v>
      </c>
      <c r="B74" s="28" t="s">
        <v>768</v>
      </c>
      <c r="C74" s="179"/>
      <c r="D74" s="66"/>
      <c r="E74" s="66"/>
      <c r="F74" s="66"/>
      <c r="G74" s="66"/>
      <c r="H74" s="66"/>
      <c r="I74" s="134">
        <f t="shared" si="12"/>
        <v>0</v>
      </c>
      <c r="J74" s="67"/>
      <c r="K74" s="134">
        <f t="shared" si="13"/>
        <v>0</v>
      </c>
    </row>
    <row r="75" spans="1:11" ht="15.75" hidden="1">
      <c r="A75" s="42" t="s">
        <v>769</v>
      </c>
      <c r="B75" s="28" t="s">
        <v>159</v>
      </c>
      <c r="C75" s="179">
        <f t="shared" ref="C75:H75" si="17">C76+C77</f>
        <v>0</v>
      </c>
      <c r="D75" s="66">
        <f t="shared" si="17"/>
        <v>0</v>
      </c>
      <c r="E75" s="66">
        <f t="shared" si="17"/>
        <v>0</v>
      </c>
      <c r="F75" s="66">
        <f t="shared" si="17"/>
        <v>0</v>
      </c>
      <c r="G75" s="66">
        <f t="shared" si="17"/>
        <v>0</v>
      </c>
      <c r="H75" s="66">
        <f t="shared" si="17"/>
        <v>0</v>
      </c>
      <c r="I75" s="134">
        <f t="shared" si="12"/>
        <v>0</v>
      </c>
      <c r="J75" s="67"/>
      <c r="K75" s="134">
        <f t="shared" si="13"/>
        <v>0</v>
      </c>
    </row>
    <row r="76" spans="1:11" ht="30" hidden="1">
      <c r="A76" s="180" t="s">
        <v>756</v>
      </c>
      <c r="B76" s="28" t="s">
        <v>770</v>
      </c>
      <c r="C76" s="179"/>
      <c r="D76" s="66"/>
      <c r="E76" s="66"/>
      <c r="F76" s="66"/>
      <c r="G76" s="66"/>
      <c r="H76" s="66"/>
      <c r="I76" s="134">
        <f t="shared" si="12"/>
        <v>0</v>
      </c>
      <c r="J76" s="67"/>
      <c r="K76" s="134">
        <f t="shared" si="13"/>
        <v>0</v>
      </c>
    </row>
    <row r="77" spans="1:11" ht="30" hidden="1">
      <c r="A77" s="180" t="s">
        <v>758</v>
      </c>
      <c r="B77" s="28" t="s">
        <v>771</v>
      </c>
      <c r="C77" s="179"/>
      <c r="D77" s="66"/>
      <c r="E77" s="66"/>
      <c r="F77" s="66"/>
      <c r="G77" s="66"/>
      <c r="H77" s="66"/>
      <c r="I77" s="134">
        <f t="shared" si="12"/>
        <v>0</v>
      </c>
      <c r="J77" s="67"/>
      <c r="K77" s="134">
        <f t="shared" si="13"/>
        <v>0</v>
      </c>
    </row>
    <row r="78" spans="1:11" ht="31.5" hidden="1">
      <c r="A78" s="42" t="s">
        <v>109</v>
      </c>
      <c r="B78" s="28" t="s">
        <v>772</v>
      </c>
      <c r="C78" s="179">
        <f t="shared" ref="C78:H78" si="18">C79+C80</f>
        <v>2640</v>
      </c>
      <c r="D78" s="66">
        <f t="shared" si="18"/>
        <v>0</v>
      </c>
      <c r="E78" s="66">
        <f t="shared" si="18"/>
        <v>0</v>
      </c>
      <c r="F78" s="66">
        <f t="shared" si="18"/>
        <v>0</v>
      </c>
      <c r="G78" s="66">
        <f t="shared" si="18"/>
        <v>0</v>
      </c>
      <c r="H78" s="66">
        <f t="shared" si="18"/>
        <v>0</v>
      </c>
      <c r="I78" s="134">
        <f t="shared" si="12"/>
        <v>2640</v>
      </c>
      <c r="J78" s="67"/>
      <c r="K78" s="134">
        <f t="shared" si="13"/>
        <v>2640</v>
      </c>
    </row>
    <row r="79" spans="1:11" ht="30" hidden="1">
      <c r="A79" s="180" t="s">
        <v>756</v>
      </c>
      <c r="B79" s="28" t="s">
        <v>773</v>
      </c>
      <c r="C79" s="179">
        <v>2640</v>
      </c>
      <c r="D79" s="66"/>
      <c r="E79" s="66"/>
      <c r="F79" s="66"/>
      <c r="G79" s="66"/>
      <c r="H79" s="66"/>
      <c r="I79" s="134">
        <f t="shared" si="12"/>
        <v>2640</v>
      </c>
      <c r="J79" s="67"/>
      <c r="K79" s="134">
        <f t="shared" si="13"/>
        <v>2640</v>
      </c>
    </row>
    <row r="80" spans="1:11" ht="30" hidden="1">
      <c r="A80" s="180" t="s">
        <v>758</v>
      </c>
      <c r="B80" s="28" t="s">
        <v>774</v>
      </c>
      <c r="C80" s="179"/>
      <c r="D80" s="66"/>
      <c r="E80" s="66"/>
      <c r="F80" s="66"/>
      <c r="G80" s="66"/>
      <c r="H80" s="66"/>
      <c r="I80" s="134">
        <f t="shared" si="12"/>
        <v>0</v>
      </c>
      <c r="J80" s="67"/>
      <c r="K80" s="134">
        <f t="shared" si="13"/>
        <v>0</v>
      </c>
    </row>
    <row r="81" spans="1:11" ht="15.75" hidden="1">
      <c r="A81" s="42" t="s">
        <v>775</v>
      </c>
      <c r="B81" s="28" t="s">
        <v>776</v>
      </c>
      <c r="C81" s="179">
        <f t="shared" ref="C81:H81" si="19">C82+C83</f>
        <v>87504</v>
      </c>
      <c r="D81" s="66">
        <f t="shared" si="19"/>
        <v>8659</v>
      </c>
      <c r="E81" s="66">
        <f t="shared" si="19"/>
        <v>0</v>
      </c>
      <c r="F81" s="66">
        <f t="shared" si="19"/>
        <v>0</v>
      </c>
      <c r="G81" s="66">
        <f t="shared" si="19"/>
        <v>1298</v>
      </c>
      <c r="H81" s="66">
        <f t="shared" si="19"/>
        <v>0</v>
      </c>
      <c r="I81" s="134">
        <f t="shared" si="12"/>
        <v>97461</v>
      </c>
      <c r="J81" s="67"/>
      <c r="K81" s="134">
        <f t="shared" si="13"/>
        <v>97461</v>
      </c>
    </row>
    <row r="82" spans="1:11" ht="30" hidden="1">
      <c r="A82" s="180" t="s">
        <v>756</v>
      </c>
      <c r="B82" s="28" t="s">
        <v>777</v>
      </c>
      <c r="C82" s="179">
        <v>73601</v>
      </c>
      <c r="D82" s="66">
        <f>8547+112</f>
        <v>8659</v>
      </c>
      <c r="E82" s="66"/>
      <c r="F82" s="66"/>
      <c r="G82" s="66"/>
      <c r="H82" s="66"/>
      <c r="I82" s="134">
        <f t="shared" si="12"/>
        <v>82260</v>
      </c>
      <c r="J82" s="67"/>
      <c r="K82" s="134">
        <f t="shared" si="13"/>
        <v>82260</v>
      </c>
    </row>
    <row r="83" spans="1:11" ht="30" hidden="1">
      <c r="A83" s="180" t="s">
        <v>758</v>
      </c>
      <c r="B83" s="28" t="s">
        <v>778</v>
      </c>
      <c r="C83" s="179">
        <f>4318+9585</f>
        <v>13903</v>
      </c>
      <c r="D83" s="66"/>
      <c r="E83" s="66"/>
      <c r="F83" s="66"/>
      <c r="G83" s="66">
        <v>1298</v>
      </c>
      <c r="H83" s="66"/>
      <c r="I83" s="134">
        <f t="shared" si="12"/>
        <v>15201</v>
      </c>
      <c r="J83" s="67"/>
      <c r="K83" s="134">
        <f t="shared" si="13"/>
        <v>15201</v>
      </c>
    </row>
    <row r="84" spans="1:11" ht="15.75" hidden="1">
      <c r="A84" s="42" t="s">
        <v>124</v>
      </c>
      <c r="B84" s="28" t="s">
        <v>779</v>
      </c>
      <c r="C84" s="179">
        <f t="shared" ref="C84:H84" si="20">C85+C86</f>
        <v>2762</v>
      </c>
      <c r="D84" s="66">
        <f t="shared" si="20"/>
        <v>14985</v>
      </c>
      <c r="E84" s="66">
        <f t="shared" si="20"/>
        <v>0</v>
      </c>
      <c r="F84" s="66">
        <f t="shared" si="20"/>
        <v>0</v>
      </c>
      <c r="G84" s="66">
        <f t="shared" si="20"/>
        <v>0</v>
      </c>
      <c r="H84" s="66">
        <f t="shared" si="20"/>
        <v>0</v>
      </c>
      <c r="I84" s="134">
        <f t="shared" si="12"/>
        <v>17747</v>
      </c>
      <c r="J84" s="67">
        <f>J85+J86</f>
        <v>1300</v>
      </c>
      <c r="K84" s="134">
        <f t="shared" si="13"/>
        <v>16447</v>
      </c>
    </row>
    <row r="85" spans="1:11" ht="30" hidden="1">
      <c r="A85" s="180" t="s">
        <v>756</v>
      </c>
      <c r="B85" s="28" t="s">
        <v>780</v>
      </c>
      <c r="C85" s="179">
        <v>2262</v>
      </c>
      <c r="D85" s="66">
        <v>14485</v>
      </c>
      <c r="E85" s="66"/>
      <c r="F85" s="66"/>
      <c r="G85" s="66"/>
      <c r="H85" s="66"/>
      <c r="I85" s="134">
        <f t="shared" si="12"/>
        <v>16747</v>
      </c>
      <c r="J85" s="67">
        <v>800</v>
      </c>
      <c r="K85" s="134">
        <f t="shared" si="13"/>
        <v>15947</v>
      </c>
    </row>
    <row r="86" spans="1:11" ht="30" hidden="1">
      <c r="A86" s="180" t="s">
        <v>758</v>
      </c>
      <c r="B86" s="28" t="s">
        <v>781</v>
      </c>
      <c r="C86" s="179">
        <v>500</v>
      </c>
      <c r="D86" s="66">
        <v>500</v>
      </c>
      <c r="E86" s="66"/>
      <c r="F86" s="66"/>
      <c r="G86" s="66"/>
      <c r="H86" s="66"/>
      <c r="I86" s="134">
        <f t="shared" si="12"/>
        <v>1000</v>
      </c>
      <c r="J86" s="67">
        <v>500</v>
      </c>
      <c r="K86" s="134">
        <f t="shared" si="13"/>
        <v>500</v>
      </c>
    </row>
    <row r="87" spans="1:11" ht="31.5" hidden="1">
      <c r="A87" s="42" t="s">
        <v>134</v>
      </c>
      <c r="B87" s="28" t="s">
        <v>782</v>
      </c>
      <c r="C87" s="179">
        <f t="shared" ref="C87:H87" si="21">C88+C89</f>
        <v>9357</v>
      </c>
      <c r="D87" s="66">
        <f t="shared" si="21"/>
        <v>3197</v>
      </c>
      <c r="E87" s="66">
        <f t="shared" si="21"/>
        <v>0</v>
      </c>
      <c r="F87" s="66">
        <f t="shared" si="21"/>
        <v>0</v>
      </c>
      <c r="G87" s="66">
        <f t="shared" si="21"/>
        <v>0</v>
      </c>
      <c r="H87" s="66">
        <f t="shared" si="21"/>
        <v>0</v>
      </c>
      <c r="I87" s="134">
        <f t="shared" si="12"/>
        <v>12554</v>
      </c>
      <c r="J87" s="67">
        <f>J88+J89</f>
        <v>2877</v>
      </c>
      <c r="K87" s="134">
        <f t="shared" si="13"/>
        <v>9677</v>
      </c>
    </row>
    <row r="88" spans="1:11" ht="30" hidden="1">
      <c r="A88" s="180" t="s">
        <v>756</v>
      </c>
      <c r="B88" s="28" t="s">
        <v>783</v>
      </c>
      <c r="C88" s="179">
        <v>9357</v>
      </c>
      <c r="D88" s="66">
        <v>2897</v>
      </c>
      <c r="E88" s="66"/>
      <c r="F88" s="66"/>
      <c r="G88" s="66"/>
      <c r="H88" s="66"/>
      <c r="I88" s="134">
        <f t="shared" si="12"/>
        <v>12254</v>
      </c>
      <c r="J88" s="67">
        <v>2577</v>
      </c>
      <c r="K88" s="134">
        <f t="shared" si="13"/>
        <v>9677</v>
      </c>
    </row>
    <row r="89" spans="1:11" ht="30" hidden="1">
      <c r="A89" s="180" t="s">
        <v>758</v>
      </c>
      <c r="B89" s="28" t="s">
        <v>784</v>
      </c>
      <c r="C89" s="179"/>
      <c r="D89" s="66">
        <v>300</v>
      </c>
      <c r="E89" s="66"/>
      <c r="F89" s="66"/>
      <c r="G89" s="66"/>
      <c r="H89" s="66"/>
      <c r="I89" s="134">
        <f t="shared" si="12"/>
        <v>300</v>
      </c>
      <c r="J89" s="67">
        <v>300</v>
      </c>
      <c r="K89" s="134">
        <f t="shared" si="13"/>
        <v>0</v>
      </c>
    </row>
    <row r="90" spans="1:11" ht="31.5" hidden="1">
      <c r="A90" s="42" t="s">
        <v>785</v>
      </c>
      <c r="B90" s="28" t="s">
        <v>786</v>
      </c>
      <c r="C90" s="179">
        <f t="shared" ref="C90:H90" si="22">C91+C92</f>
        <v>23305</v>
      </c>
      <c r="D90" s="66">
        <f t="shared" si="22"/>
        <v>0</v>
      </c>
      <c r="E90" s="66">
        <f t="shared" si="22"/>
        <v>0</v>
      </c>
      <c r="F90" s="66">
        <f t="shared" si="22"/>
        <v>0</v>
      </c>
      <c r="G90" s="66">
        <f t="shared" si="22"/>
        <v>0</v>
      </c>
      <c r="H90" s="66">
        <f t="shared" si="22"/>
        <v>0</v>
      </c>
      <c r="I90" s="134">
        <f t="shared" si="12"/>
        <v>23305</v>
      </c>
      <c r="J90" s="67"/>
      <c r="K90" s="134">
        <f t="shared" si="13"/>
        <v>23305</v>
      </c>
    </row>
    <row r="91" spans="1:11" ht="30" hidden="1">
      <c r="A91" s="180" t="s">
        <v>756</v>
      </c>
      <c r="B91" s="28" t="s">
        <v>787</v>
      </c>
      <c r="C91" s="179">
        <f>17414+25</f>
        <v>17439</v>
      </c>
      <c r="D91" s="66"/>
      <c r="E91" s="66"/>
      <c r="F91" s="66"/>
      <c r="G91" s="66"/>
      <c r="H91" s="66"/>
      <c r="I91" s="134">
        <f t="shared" si="12"/>
        <v>17439</v>
      </c>
      <c r="J91" s="67"/>
      <c r="K91" s="134">
        <f t="shared" si="13"/>
        <v>17439</v>
      </c>
    </row>
    <row r="92" spans="1:11" ht="30" hidden="1">
      <c r="A92" s="180" t="s">
        <v>758</v>
      </c>
      <c r="B92" s="28" t="s">
        <v>788</v>
      </c>
      <c r="C92" s="179">
        <f>1265+4546+55</f>
        <v>5866</v>
      </c>
      <c r="D92" s="66"/>
      <c r="E92" s="66"/>
      <c r="F92" s="66"/>
      <c r="G92" s="66"/>
      <c r="H92" s="66"/>
      <c r="I92" s="134">
        <f t="shared" si="12"/>
        <v>5866</v>
      </c>
      <c r="J92" s="67"/>
      <c r="K92" s="134">
        <f t="shared" si="13"/>
        <v>5866</v>
      </c>
    </row>
    <row r="93" spans="1:11" ht="31.5" hidden="1">
      <c r="A93" s="42" t="s">
        <v>158</v>
      </c>
      <c r="B93" s="28" t="s">
        <v>789</v>
      </c>
      <c r="C93" s="179">
        <f t="shared" ref="C93:H93" si="23">C94+C95</f>
        <v>41950</v>
      </c>
      <c r="D93" s="66">
        <f t="shared" si="23"/>
        <v>13820</v>
      </c>
      <c r="E93" s="66">
        <f t="shared" si="23"/>
        <v>0</v>
      </c>
      <c r="F93" s="66">
        <f t="shared" si="23"/>
        <v>0</v>
      </c>
      <c r="G93" s="66">
        <f t="shared" si="23"/>
        <v>6402</v>
      </c>
      <c r="H93" s="66">
        <f t="shared" si="23"/>
        <v>0</v>
      </c>
      <c r="I93" s="134">
        <f t="shared" si="12"/>
        <v>62172</v>
      </c>
      <c r="J93" s="67">
        <f>J94+J95</f>
        <v>10546</v>
      </c>
      <c r="K93" s="134">
        <f t="shared" si="13"/>
        <v>51626</v>
      </c>
    </row>
    <row r="94" spans="1:11" ht="30" hidden="1">
      <c r="A94" s="180" t="s">
        <v>756</v>
      </c>
      <c r="B94" s="28" t="s">
        <v>790</v>
      </c>
      <c r="C94" s="179">
        <v>22996</v>
      </c>
      <c r="D94" s="66">
        <v>9223</v>
      </c>
      <c r="E94" s="66"/>
      <c r="F94" s="66"/>
      <c r="G94" s="66"/>
      <c r="H94" s="66"/>
      <c r="I94" s="134">
        <f t="shared" si="12"/>
        <v>32219</v>
      </c>
      <c r="J94" s="67">
        <v>5949</v>
      </c>
      <c r="K94" s="134">
        <f t="shared" si="13"/>
        <v>26270</v>
      </c>
    </row>
    <row r="95" spans="1:11" ht="30" hidden="1">
      <c r="A95" s="180" t="s">
        <v>758</v>
      </c>
      <c r="B95" s="28" t="s">
        <v>791</v>
      </c>
      <c r="C95" s="179">
        <f>11188+558+48+7160</f>
        <v>18954</v>
      </c>
      <c r="D95" s="66">
        <v>4597</v>
      </c>
      <c r="E95" s="66"/>
      <c r="F95" s="66"/>
      <c r="G95" s="66">
        <v>6402</v>
      </c>
      <c r="H95" s="66"/>
      <c r="I95" s="134">
        <f t="shared" si="12"/>
        <v>29953</v>
      </c>
      <c r="J95" s="67">
        <v>4597</v>
      </c>
      <c r="K95" s="134">
        <f t="shared" si="13"/>
        <v>25356</v>
      </c>
    </row>
    <row r="96" spans="1:11" ht="15.75" hidden="1">
      <c r="A96" s="42" t="s">
        <v>171</v>
      </c>
      <c r="B96" s="28" t="s">
        <v>792</v>
      </c>
      <c r="C96" s="179">
        <f>C97+C98</f>
        <v>53205</v>
      </c>
      <c r="D96" s="66"/>
      <c r="E96" s="66"/>
      <c r="F96" s="66"/>
      <c r="G96" s="66"/>
      <c r="H96" s="66"/>
      <c r="I96" s="134">
        <f t="shared" si="12"/>
        <v>53205</v>
      </c>
      <c r="J96" s="67"/>
      <c r="K96" s="134">
        <f t="shared" si="13"/>
        <v>53205</v>
      </c>
    </row>
    <row r="97" spans="1:11" ht="30" hidden="1">
      <c r="A97" s="180" t="s">
        <v>756</v>
      </c>
      <c r="B97" s="28" t="s">
        <v>793</v>
      </c>
      <c r="C97" s="179">
        <v>12500</v>
      </c>
      <c r="D97" s="66"/>
      <c r="E97" s="66"/>
      <c r="F97" s="66"/>
      <c r="G97" s="66"/>
      <c r="H97" s="66"/>
      <c r="I97" s="134">
        <f t="shared" si="12"/>
        <v>12500</v>
      </c>
      <c r="J97" s="67"/>
      <c r="K97" s="134">
        <f t="shared" si="13"/>
        <v>12500</v>
      </c>
    </row>
    <row r="98" spans="1:11" ht="30" hidden="1">
      <c r="A98" s="180" t="s">
        <v>758</v>
      </c>
      <c r="B98" s="28" t="s">
        <v>794</v>
      </c>
      <c r="C98" s="179">
        <f>105+40600</f>
        <v>40705</v>
      </c>
      <c r="D98" s="66"/>
      <c r="E98" s="66"/>
      <c r="F98" s="66"/>
      <c r="G98" s="66"/>
      <c r="H98" s="66"/>
      <c r="I98" s="134">
        <f t="shared" si="12"/>
        <v>40705</v>
      </c>
      <c r="J98" s="67"/>
      <c r="K98" s="134">
        <f t="shared" si="13"/>
        <v>40705</v>
      </c>
    </row>
    <row r="99" spans="1:11" ht="63" hidden="1">
      <c r="A99" s="42" t="s">
        <v>177</v>
      </c>
      <c r="B99" s="28" t="s">
        <v>795</v>
      </c>
      <c r="C99" s="179">
        <f t="shared" ref="C99:H99" si="24">C100+C101</f>
        <v>645</v>
      </c>
      <c r="D99" s="66">
        <f t="shared" si="24"/>
        <v>0</v>
      </c>
      <c r="E99" s="66">
        <f t="shared" si="24"/>
        <v>0</v>
      </c>
      <c r="F99" s="66">
        <f t="shared" si="24"/>
        <v>0</v>
      </c>
      <c r="G99" s="66">
        <f t="shared" si="24"/>
        <v>0</v>
      </c>
      <c r="H99" s="66">
        <f t="shared" si="24"/>
        <v>0</v>
      </c>
      <c r="I99" s="134">
        <f t="shared" si="12"/>
        <v>645</v>
      </c>
      <c r="J99" s="67"/>
      <c r="K99" s="134">
        <f t="shared" si="13"/>
        <v>645</v>
      </c>
    </row>
    <row r="100" spans="1:11" ht="30" hidden="1">
      <c r="A100" s="180" t="s">
        <v>756</v>
      </c>
      <c r="B100" s="28" t="s">
        <v>796</v>
      </c>
      <c r="C100" s="179"/>
      <c r="D100" s="66"/>
      <c r="E100" s="66"/>
      <c r="F100" s="66"/>
      <c r="G100" s="66"/>
      <c r="H100" s="66"/>
      <c r="I100" s="134">
        <f t="shared" si="12"/>
        <v>0</v>
      </c>
      <c r="J100" s="67"/>
      <c r="K100" s="134">
        <f t="shared" si="13"/>
        <v>0</v>
      </c>
    </row>
    <row r="101" spans="1:11" ht="30" hidden="1">
      <c r="A101" s="180" t="s">
        <v>758</v>
      </c>
      <c r="B101" s="28" t="s">
        <v>797</v>
      </c>
      <c r="C101" s="179">
        <v>645</v>
      </c>
      <c r="D101" s="66"/>
      <c r="E101" s="66"/>
      <c r="F101" s="66"/>
      <c r="G101" s="66"/>
      <c r="H101" s="66"/>
      <c r="I101" s="134">
        <f t="shared" si="12"/>
        <v>645</v>
      </c>
      <c r="J101" s="67"/>
      <c r="K101" s="134">
        <f t="shared" si="13"/>
        <v>645</v>
      </c>
    </row>
    <row r="102" spans="1:11" ht="31.5" hidden="1">
      <c r="A102" s="42" t="s">
        <v>798</v>
      </c>
      <c r="B102" s="28" t="s">
        <v>799</v>
      </c>
      <c r="C102" s="179">
        <f t="shared" ref="C102:H102" si="25">C103+C104</f>
        <v>0</v>
      </c>
      <c r="D102" s="66">
        <f t="shared" si="25"/>
        <v>0</v>
      </c>
      <c r="E102" s="66">
        <f t="shared" si="25"/>
        <v>0</v>
      </c>
      <c r="F102" s="66">
        <f t="shared" si="25"/>
        <v>0</v>
      </c>
      <c r="G102" s="66">
        <f t="shared" si="25"/>
        <v>0</v>
      </c>
      <c r="H102" s="66">
        <f t="shared" si="25"/>
        <v>0</v>
      </c>
      <c r="I102" s="134">
        <f t="shared" si="12"/>
        <v>0</v>
      </c>
      <c r="J102" s="67"/>
      <c r="K102" s="134">
        <f t="shared" si="13"/>
        <v>0</v>
      </c>
    </row>
    <row r="103" spans="1:11" ht="30" hidden="1">
      <c r="A103" s="180" t="s">
        <v>756</v>
      </c>
      <c r="B103" s="28" t="s">
        <v>800</v>
      </c>
      <c r="C103" s="179"/>
      <c r="D103" s="66"/>
      <c r="E103" s="66"/>
      <c r="F103" s="66"/>
      <c r="G103" s="66"/>
      <c r="H103" s="66"/>
      <c r="I103" s="134">
        <f t="shared" si="12"/>
        <v>0</v>
      </c>
      <c r="J103" s="67"/>
      <c r="K103" s="134">
        <f t="shared" si="13"/>
        <v>0</v>
      </c>
    </row>
    <row r="104" spans="1:11" ht="30" hidden="1">
      <c r="A104" s="180" t="s">
        <v>758</v>
      </c>
      <c r="B104" s="28" t="s">
        <v>801</v>
      </c>
      <c r="C104" s="179"/>
      <c r="D104" s="66"/>
      <c r="E104" s="66"/>
      <c r="F104" s="66"/>
      <c r="G104" s="66"/>
      <c r="H104" s="66"/>
      <c r="I104" s="134">
        <f t="shared" si="12"/>
        <v>0</v>
      </c>
      <c r="J104" s="67"/>
      <c r="K104" s="134">
        <f t="shared" si="13"/>
        <v>0</v>
      </c>
    </row>
    <row r="105" spans="1:11" ht="63" hidden="1">
      <c r="A105" s="42" t="s">
        <v>802</v>
      </c>
      <c r="B105" s="28" t="s">
        <v>803</v>
      </c>
      <c r="C105" s="179">
        <f t="shared" ref="C105:H105" si="26">C106+C107</f>
        <v>6023</v>
      </c>
      <c r="D105" s="66">
        <f t="shared" si="26"/>
        <v>0</v>
      </c>
      <c r="E105" s="66">
        <f t="shared" si="26"/>
        <v>0</v>
      </c>
      <c r="F105" s="66">
        <f t="shared" si="26"/>
        <v>0</v>
      </c>
      <c r="G105" s="66">
        <f t="shared" si="26"/>
        <v>0</v>
      </c>
      <c r="H105" s="66">
        <f t="shared" si="26"/>
        <v>0</v>
      </c>
      <c r="I105" s="134">
        <f t="shared" si="12"/>
        <v>6023</v>
      </c>
      <c r="J105" s="67"/>
      <c r="K105" s="134">
        <f t="shared" si="13"/>
        <v>6023</v>
      </c>
    </row>
    <row r="106" spans="1:11" ht="30" hidden="1">
      <c r="A106" s="180" t="s">
        <v>756</v>
      </c>
      <c r="B106" s="28" t="s">
        <v>804</v>
      </c>
      <c r="C106" s="179"/>
      <c r="D106" s="66"/>
      <c r="E106" s="66"/>
      <c r="F106" s="66"/>
      <c r="G106" s="66"/>
      <c r="H106" s="66"/>
      <c r="I106" s="134">
        <f t="shared" si="12"/>
        <v>0</v>
      </c>
      <c r="J106" s="67"/>
      <c r="K106" s="134">
        <f t="shared" si="13"/>
        <v>0</v>
      </c>
    </row>
    <row r="107" spans="1:11" ht="30" hidden="1">
      <c r="A107" s="180" t="s">
        <v>758</v>
      </c>
      <c r="B107" s="28" t="s">
        <v>805</v>
      </c>
      <c r="C107" s="179">
        <v>6023</v>
      </c>
      <c r="D107" s="66"/>
      <c r="E107" s="66"/>
      <c r="F107" s="66"/>
      <c r="G107" s="66"/>
      <c r="H107" s="66"/>
      <c r="I107" s="134">
        <f t="shared" si="12"/>
        <v>6023</v>
      </c>
      <c r="J107" s="67"/>
      <c r="K107" s="134">
        <f t="shared" si="13"/>
        <v>6023</v>
      </c>
    </row>
    <row r="108" spans="1:11" ht="15.75" hidden="1">
      <c r="A108" s="42" t="s">
        <v>806</v>
      </c>
      <c r="B108" s="28" t="s">
        <v>807</v>
      </c>
      <c r="C108" s="179">
        <f t="shared" ref="C108:H108" si="27">C109+C110</f>
        <v>40837</v>
      </c>
      <c r="D108" s="66">
        <f t="shared" si="27"/>
        <v>0</v>
      </c>
      <c r="E108" s="66">
        <f t="shared" si="27"/>
        <v>0</v>
      </c>
      <c r="F108" s="66">
        <f t="shared" si="27"/>
        <v>0</v>
      </c>
      <c r="G108" s="66">
        <f t="shared" si="27"/>
        <v>33176</v>
      </c>
      <c r="H108" s="66">
        <f t="shared" si="27"/>
        <v>0</v>
      </c>
      <c r="I108" s="134">
        <f t="shared" si="12"/>
        <v>74013</v>
      </c>
      <c r="J108" s="67"/>
      <c r="K108" s="134">
        <f t="shared" si="13"/>
        <v>74013</v>
      </c>
    </row>
    <row r="109" spans="1:11" ht="30" hidden="1">
      <c r="A109" s="180" t="s">
        <v>756</v>
      </c>
      <c r="B109" s="28" t="s">
        <v>808</v>
      </c>
      <c r="C109" s="179">
        <v>28120</v>
      </c>
      <c r="D109" s="66"/>
      <c r="E109" s="66"/>
      <c r="F109" s="66"/>
      <c r="G109" s="66"/>
      <c r="H109" s="66"/>
      <c r="I109" s="134">
        <f t="shared" si="12"/>
        <v>28120</v>
      </c>
      <c r="J109" s="67"/>
      <c r="K109" s="134">
        <f t="shared" si="13"/>
        <v>28120</v>
      </c>
    </row>
    <row r="110" spans="1:11" ht="30" hidden="1">
      <c r="A110" s="180" t="s">
        <v>758</v>
      </c>
      <c r="B110" s="28" t="s">
        <v>809</v>
      </c>
      <c r="C110" s="179">
        <f>11490+1227</f>
        <v>12717</v>
      </c>
      <c r="D110" s="66"/>
      <c r="E110" s="66"/>
      <c r="F110" s="66"/>
      <c r="G110" s="66">
        <v>33176</v>
      </c>
      <c r="H110" s="66"/>
      <c r="I110" s="134">
        <f t="shared" si="12"/>
        <v>45893</v>
      </c>
      <c r="J110" s="67"/>
      <c r="K110" s="134">
        <f t="shared" si="13"/>
        <v>45893</v>
      </c>
    </row>
    <row r="111" spans="1:11" ht="15.75" hidden="1">
      <c r="A111" s="42" t="s">
        <v>456</v>
      </c>
      <c r="B111" s="28" t="s">
        <v>810</v>
      </c>
      <c r="C111" s="179">
        <f t="shared" ref="C111:H111" si="28">C112+C113</f>
        <v>0</v>
      </c>
      <c r="D111" s="66">
        <f t="shared" si="28"/>
        <v>0</v>
      </c>
      <c r="E111" s="66">
        <f t="shared" si="28"/>
        <v>0</v>
      </c>
      <c r="F111" s="66">
        <f t="shared" si="28"/>
        <v>0</v>
      </c>
      <c r="G111" s="66">
        <f t="shared" si="28"/>
        <v>0</v>
      </c>
      <c r="H111" s="66">
        <f t="shared" si="28"/>
        <v>0</v>
      </c>
      <c r="I111" s="134">
        <f t="shared" si="12"/>
        <v>0</v>
      </c>
      <c r="J111" s="67"/>
      <c r="K111" s="134">
        <f t="shared" si="13"/>
        <v>0</v>
      </c>
    </row>
    <row r="112" spans="1:11" ht="30" hidden="1">
      <c r="A112" s="180" t="s">
        <v>756</v>
      </c>
      <c r="B112" s="28" t="s">
        <v>811</v>
      </c>
      <c r="C112" s="179"/>
      <c r="D112" s="66"/>
      <c r="E112" s="66"/>
      <c r="F112" s="66"/>
      <c r="G112" s="66"/>
      <c r="H112" s="66"/>
      <c r="I112" s="134">
        <f t="shared" si="12"/>
        <v>0</v>
      </c>
      <c r="J112" s="67"/>
      <c r="K112" s="134">
        <f t="shared" si="13"/>
        <v>0</v>
      </c>
    </row>
    <row r="113" spans="1:11" ht="30" hidden="1">
      <c r="A113" s="180" t="s">
        <v>758</v>
      </c>
      <c r="B113" s="28" t="s">
        <v>812</v>
      </c>
      <c r="C113" s="179"/>
      <c r="D113" s="66"/>
      <c r="E113" s="66"/>
      <c r="F113" s="66"/>
      <c r="G113" s="66"/>
      <c r="H113" s="66"/>
      <c r="I113" s="134">
        <f t="shared" si="12"/>
        <v>0</v>
      </c>
      <c r="J113" s="67"/>
      <c r="K113" s="134">
        <f t="shared" si="13"/>
        <v>0</v>
      </c>
    </row>
    <row r="114" spans="1:11" ht="15">
      <c r="A114" s="181"/>
      <c r="B114" s="182"/>
      <c r="C114" s="183"/>
      <c r="D114" s="82"/>
      <c r="E114" s="82"/>
      <c r="F114" s="82"/>
      <c r="G114" s="82"/>
      <c r="H114" s="82"/>
      <c r="I114" s="184"/>
      <c r="J114" s="185"/>
      <c r="K114" s="184"/>
    </row>
    <row r="115" spans="1:11" ht="18.75" customHeight="1">
      <c r="A115" s="495" t="s">
        <v>818</v>
      </c>
      <c r="B115" s="496"/>
      <c r="C115" s="496"/>
      <c r="D115" s="496"/>
      <c r="E115" s="496"/>
      <c r="F115" s="496"/>
      <c r="G115" s="496"/>
      <c r="H115" s="496"/>
      <c r="I115" s="496"/>
      <c r="J115" s="496"/>
      <c r="K115" s="496"/>
    </row>
    <row r="116" spans="1:11" ht="14.25">
      <c r="A116" s="68" t="s">
        <v>813</v>
      </c>
      <c r="B116" s="69"/>
      <c r="C116" s="70"/>
      <c r="D116" s="70"/>
      <c r="E116" s="70"/>
      <c r="F116" s="70"/>
      <c r="G116" s="70"/>
      <c r="H116" s="70"/>
      <c r="I116" s="70"/>
      <c r="J116" s="70"/>
      <c r="K116" s="71"/>
    </row>
    <row r="117" spans="1:11">
      <c r="A117" s="72" t="s">
        <v>814</v>
      </c>
      <c r="B117" s="73"/>
      <c r="C117" s="74"/>
      <c r="D117" s="74"/>
      <c r="E117" s="74"/>
      <c r="F117" s="74"/>
      <c r="G117" s="74"/>
      <c r="H117" s="74"/>
      <c r="I117" s="74"/>
      <c r="J117" s="74"/>
      <c r="K117" s="71"/>
    </row>
    <row r="118" spans="1:11">
      <c r="A118" s="75" t="s">
        <v>815</v>
      </c>
      <c r="B118" s="73"/>
      <c r="C118" s="74"/>
      <c r="D118" s="74"/>
      <c r="E118" s="74"/>
      <c r="F118" s="74"/>
      <c r="G118" s="74"/>
      <c r="H118" s="74"/>
      <c r="I118" s="74"/>
      <c r="J118" s="74"/>
      <c r="K118" s="71"/>
    </row>
    <row r="119" spans="1:11">
      <c r="A119" s="76"/>
      <c r="B119" s="77"/>
      <c r="C119" s="71"/>
      <c r="D119" s="71"/>
      <c r="E119" s="71"/>
      <c r="F119" s="71"/>
      <c r="G119" s="71"/>
      <c r="H119" s="499" t="s">
        <v>816</v>
      </c>
      <c r="I119" s="499"/>
      <c r="J119" s="499"/>
      <c r="K119" s="499"/>
    </row>
    <row r="120" spans="1:11" ht="15">
      <c r="A120" s="78"/>
      <c r="B120" s="79"/>
      <c r="C120" s="80"/>
      <c r="D120" s="80"/>
      <c r="E120" s="80"/>
      <c r="F120" s="80"/>
      <c r="G120" s="80"/>
      <c r="I120" s="390" t="s">
        <v>1040</v>
      </c>
      <c r="J120" s="390"/>
      <c r="K120" s="390"/>
    </row>
    <row r="121" spans="1:11" ht="31.5" customHeight="1">
      <c r="I121" s="497" t="s">
        <v>1039</v>
      </c>
      <c r="J121" s="497"/>
    </row>
    <row r="122" spans="1:11" ht="15">
      <c r="H122" s="498" t="s">
        <v>817</v>
      </c>
      <c r="I122" s="498"/>
      <c r="J122" s="498"/>
      <c r="K122" s="498"/>
    </row>
    <row r="123" spans="1:11" ht="18" customHeight="1"/>
  </sheetData>
  <mergeCells count="17">
    <mergeCell ref="G15:G16"/>
    <mergeCell ref="A115:K115"/>
    <mergeCell ref="I121:J121"/>
    <mergeCell ref="H122:K122"/>
    <mergeCell ref="H119:K119"/>
    <mergeCell ref="A4:K4"/>
    <mergeCell ref="A5:K5"/>
    <mergeCell ref="B11:B17"/>
    <mergeCell ref="C11:C17"/>
    <mergeCell ref="D11:D17"/>
    <mergeCell ref="E11:E17"/>
    <mergeCell ref="H11:H17"/>
    <mergeCell ref="I11:I17"/>
    <mergeCell ref="J11:J17"/>
    <mergeCell ref="K11:K17"/>
    <mergeCell ref="F12:G14"/>
    <mergeCell ref="F15:F16"/>
  </mergeCells>
  <pageMargins left="0.70866141732283472" right="0.70866141732283472" top="0.74803149606299213" bottom="0.74803149606299213" header="0.31496062992125984" footer="0.31496062992125984"/>
  <pageSetup paperSize="9" scale="75" fitToHeight="8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10"/>
  </sheetPr>
  <dimension ref="A1:J2511"/>
  <sheetViews>
    <sheetView tabSelected="1" topLeftCell="A92" zoomScale="85" zoomScaleNormal="85" zoomScaleSheetLayoutView="115" workbookViewId="0">
      <selection activeCell="A143" sqref="A143:B143"/>
    </sheetView>
  </sheetViews>
  <sheetFormatPr defaultRowHeight="13.5" customHeight="1"/>
  <cols>
    <col min="1" max="1" width="5.85546875" style="148" customWidth="1"/>
    <col min="2" max="2" width="92" style="163" customWidth="1"/>
    <col min="3" max="3" width="22.42578125" style="139" bestFit="1" customWidth="1"/>
    <col min="4" max="4" width="19.85546875" style="139" customWidth="1"/>
    <col min="5" max="5" width="16" style="139" customWidth="1"/>
    <col min="6" max="6" width="19.7109375" style="166" bestFit="1" customWidth="1"/>
    <col min="7" max="16384" width="9.140625" style="139"/>
  </cols>
  <sheetData>
    <row r="1" spans="1:6" ht="18" customHeight="1">
      <c r="A1" s="319"/>
      <c r="B1" s="320" t="s">
        <v>866</v>
      </c>
      <c r="C1" s="321"/>
    </row>
    <row r="2" spans="1:6" ht="16.5" customHeight="1">
      <c r="A2" s="322"/>
      <c r="B2" s="323" t="s">
        <v>867</v>
      </c>
      <c r="C2" s="324" t="s">
        <v>868</v>
      </c>
    </row>
    <row r="3" spans="1:6" ht="18">
      <c r="A3" s="322"/>
      <c r="B3" s="323"/>
      <c r="C3" s="321"/>
    </row>
    <row r="4" spans="1:6" ht="18">
      <c r="A4" s="322"/>
      <c r="B4" s="325"/>
      <c r="C4" s="321"/>
    </row>
    <row r="5" spans="1:6" ht="18" customHeight="1">
      <c r="A5" s="326"/>
      <c r="B5" s="563" t="s">
        <v>1051</v>
      </c>
      <c r="C5" s="563"/>
      <c r="D5" s="563"/>
      <c r="E5" s="563"/>
      <c r="F5" s="563"/>
    </row>
    <row r="6" spans="1:6" ht="18" customHeight="1">
      <c r="A6" s="326"/>
      <c r="B6" s="327"/>
      <c r="C6" s="327"/>
    </row>
    <row r="7" spans="1:6" ht="18">
      <c r="A7" s="326"/>
      <c r="B7" s="327"/>
      <c r="C7" s="327"/>
    </row>
    <row r="8" spans="1:6" ht="18" customHeight="1">
      <c r="A8" s="326"/>
      <c r="B8" s="327"/>
      <c r="C8" s="327"/>
    </row>
    <row r="9" spans="1:6" ht="21.75" customHeight="1" thickBot="1">
      <c r="A9" s="328"/>
      <c r="B9" s="140"/>
      <c r="C9" s="329"/>
      <c r="F9" s="330" t="s">
        <v>869</v>
      </c>
    </row>
    <row r="10" spans="1:6" s="141" customFormat="1" ht="42.75" customHeight="1" thickBot="1">
      <c r="A10" s="331"/>
      <c r="B10" s="332" t="s">
        <v>821</v>
      </c>
      <c r="C10" s="333" t="s">
        <v>822</v>
      </c>
      <c r="D10" s="484" t="s">
        <v>1047</v>
      </c>
      <c r="E10" s="408" t="s">
        <v>870</v>
      </c>
      <c r="F10" s="480" t="s">
        <v>1068</v>
      </c>
    </row>
    <row r="11" spans="1:6" s="142" customFormat="1" ht="20.25">
      <c r="A11" s="198" t="s">
        <v>639</v>
      </c>
      <c r="B11" s="334"/>
      <c r="C11" s="199" t="s">
        <v>476</v>
      </c>
      <c r="D11" s="485">
        <f>D13+D101+D109+D116+D156+D159</f>
        <v>1127579.06</v>
      </c>
      <c r="E11" s="335">
        <f>E13+E101+E109+E116+E156+E159</f>
        <v>67000</v>
      </c>
      <c r="F11" s="167">
        <f>D11+E11</f>
        <v>1194579.06</v>
      </c>
    </row>
    <row r="12" spans="1:6" s="142" customFormat="1" ht="20.25">
      <c r="A12" s="200" t="s">
        <v>640</v>
      </c>
      <c r="B12" s="201"/>
      <c r="C12" s="202" t="s">
        <v>477</v>
      </c>
      <c r="D12" s="350">
        <f>D13-D41-D96+D101+D108</f>
        <v>417927.06</v>
      </c>
      <c r="E12" s="409">
        <f>E13-E41-E96+E101+E108</f>
        <v>0</v>
      </c>
      <c r="F12" s="167">
        <f t="shared" ref="F12:F21" si="0">D12+E12</f>
        <v>417927.06</v>
      </c>
    </row>
    <row r="13" spans="1:6" ht="20.25">
      <c r="A13" s="200" t="s">
        <v>641</v>
      </c>
      <c r="B13" s="201"/>
      <c r="C13" s="203" t="s">
        <v>478</v>
      </c>
      <c r="D13" s="350">
        <f>D14+D63</f>
        <v>517504.06</v>
      </c>
      <c r="E13" s="409">
        <f>E14+E63</f>
        <v>0</v>
      </c>
      <c r="F13" s="167">
        <f t="shared" si="0"/>
        <v>517504.06</v>
      </c>
    </row>
    <row r="14" spans="1:6" ht="20.25">
      <c r="A14" s="204" t="s">
        <v>642</v>
      </c>
      <c r="B14" s="205"/>
      <c r="C14" s="203" t="s">
        <v>479</v>
      </c>
      <c r="D14" s="350">
        <f>D15+D29+D40+D60</f>
        <v>455569.06</v>
      </c>
      <c r="E14" s="409">
        <f>E15+E29+E40+E60</f>
        <v>0</v>
      </c>
      <c r="F14" s="167">
        <f t="shared" si="0"/>
        <v>455569.06</v>
      </c>
    </row>
    <row r="15" spans="1:6" ht="20.25" customHeight="1">
      <c r="A15" s="204" t="s">
        <v>643</v>
      </c>
      <c r="B15" s="205"/>
      <c r="C15" s="203" t="s">
        <v>480</v>
      </c>
      <c r="D15" s="350">
        <f>D16+D19+D26</f>
        <v>218458.06</v>
      </c>
      <c r="E15" s="409">
        <f>E16+E19+E26</f>
        <v>0</v>
      </c>
      <c r="F15" s="167">
        <f t="shared" si="0"/>
        <v>218458.06</v>
      </c>
    </row>
    <row r="16" spans="1:6" ht="20.25">
      <c r="A16" s="554" t="s">
        <v>644</v>
      </c>
      <c r="B16" s="529"/>
      <c r="C16" s="336" t="s">
        <v>481</v>
      </c>
      <c r="D16" s="350">
        <f>D17</f>
        <v>5298</v>
      </c>
      <c r="E16" s="409">
        <f>E17</f>
        <v>0</v>
      </c>
      <c r="F16" s="167">
        <f t="shared" si="0"/>
        <v>5298</v>
      </c>
    </row>
    <row r="17" spans="1:6" ht="22.5" customHeight="1">
      <c r="A17" s="206" t="s">
        <v>645</v>
      </c>
      <c r="B17" s="205"/>
      <c r="C17" s="207" t="s">
        <v>482</v>
      </c>
      <c r="D17" s="350">
        <f>D18</f>
        <v>5298</v>
      </c>
      <c r="E17" s="409">
        <f>E18</f>
        <v>0</v>
      </c>
      <c r="F17" s="167">
        <f t="shared" si="0"/>
        <v>5298</v>
      </c>
    </row>
    <row r="18" spans="1:6" ht="18" customHeight="1">
      <c r="A18" s="204" t="s">
        <v>483</v>
      </c>
      <c r="B18" s="208"/>
      <c r="C18" s="207" t="s">
        <v>484</v>
      </c>
      <c r="D18" s="349">
        <f>D876</f>
        <v>5298</v>
      </c>
      <c r="E18" s="354">
        <f>E876</f>
        <v>0</v>
      </c>
      <c r="F18" s="167">
        <f t="shared" si="0"/>
        <v>5298</v>
      </c>
    </row>
    <row r="19" spans="1:6" ht="20.25">
      <c r="A19" s="554" t="s">
        <v>649</v>
      </c>
      <c r="B19" s="529"/>
      <c r="C19" s="336" t="s">
        <v>485</v>
      </c>
      <c r="D19" s="350">
        <f>D20+D22</f>
        <v>213160.06</v>
      </c>
      <c r="E19" s="409">
        <f>E20+E22</f>
        <v>0</v>
      </c>
      <c r="F19" s="167">
        <f t="shared" si="0"/>
        <v>213160.06</v>
      </c>
    </row>
    <row r="20" spans="1:6" ht="20.25">
      <c r="A20" s="204" t="s">
        <v>646</v>
      </c>
      <c r="B20" s="208"/>
      <c r="C20" s="337" t="s">
        <v>647</v>
      </c>
      <c r="D20" s="350">
        <f>D21</f>
        <v>1282</v>
      </c>
      <c r="E20" s="409">
        <f>E21</f>
        <v>0</v>
      </c>
      <c r="F20" s="167">
        <f t="shared" si="0"/>
        <v>1282</v>
      </c>
    </row>
    <row r="21" spans="1:6" ht="38.25" customHeight="1">
      <c r="A21" s="520" t="s">
        <v>293</v>
      </c>
      <c r="B21" s="521"/>
      <c r="C21" s="337" t="s">
        <v>648</v>
      </c>
      <c r="D21" s="349">
        <f>D879</f>
        <v>1282</v>
      </c>
      <c r="E21" s="354">
        <f>E879</f>
        <v>0</v>
      </c>
      <c r="F21" s="167">
        <f t="shared" si="0"/>
        <v>1282</v>
      </c>
    </row>
    <row r="22" spans="1:6" ht="20.25">
      <c r="A22" s="204" t="s">
        <v>650</v>
      </c>
      <c r="B22" s="205"/>
      <c r="C22" s="207" t="s">
        <v>486</v>
      </c>
      <c r="D22" s="350">
        <f>D23+D24+D25</f>
        <v>211878.06</v>
      </c>
      <c r="E22" s="409">
        <f>E23+E24+E25</f>
        <v>0</v>
      </c>
      <c r="F22" s="210">
        <f>F23+F24+F25</f>
        <v>211878.06</v>
      </c>
    </row>
    <row r="23" spans="1:6" ht="18" customHeight="1">
      <c r="A23" s="206" t="s">
        <v>487</v>
      </c>
      <c r="B23" s="208"/>
      <c r="C23" s="207" t="s">
        <v>823</v>
      </c>
      <c r="D23" s="349">
        <f t="shared" ref="D23:E25" si="1">D881</f>
        <v>206317</v>
      </c>
      <c r="E23" s="354">
        <f t="shared" si="1"/>
        <v>0</v>
      </c>
      <c r="F23" s="167">
        <f>D23+E23</f>
        <v>206317</v>
      </c>
    </row>
    <row r="24" spans="1:6" ht="36" hidden="1" customHeight="1">
      <c r="A24" s="524" t="s">
        <v>824</v>
      </c>
      <c r="B24" s="529"/>
      <c r="C24" s="207" t="s">
        <v>825</v>
      </c>
      <c r="D24" s="349">
        <f t="shared" si="1"/>
        <v>0</v>
      </c>
      <c r="E24" s="354">
        <f t="shared" si="1"/>
        <v>0</v>
      </c>
      <c r="F24" s="167">
        <f>D24+E24</f>
        <v>0</v>
      </c>
    </row>
    <row r="25" spans="1:6" ht="20.25">
      <c r="A25" s="543" t="s">
        <v>987</v>
      </c>
      <c r="B25" s="529"/>
      <c r="C25" s="207" t="s">
        <v>986</v>
      </c>
      <c r="D25" s="349">
        <f t="shared" si="1"/>
        <v>5561.06</v>
      </c>
      <c r="E25" s="354">
        <f t="shared" si="1"/>
        <v>0</v>
      </c>
      <c r="F25" s="339">
        <f>F883</f>
        <v>5561.06</v>
      </c>
    </row>
    <row r="26" spans="1:6" ht="18" hidden="1" customHeight="1">
      <c r="A26" s="204"/>
      <c r="B26" s="205"/>
      <c r="C26" s="211" t="s">
        <v>488</v>
      </c>
      <c r="D26" s="349"/>
      <c r="E26" s="354"/>
      <c r="F26" s="167">
        <f t="shared" ref="F26:F57" si="2">D26+E26</f>
        <v>0</v>
      </c>
    </row>
    <row r="27" spans="1:6" ht="18" hidden="1" customHeight="1">
      <c r="A27" s="340"/>
      <c r="B27" s="205"/>
      <c r="C27" s="207" t="s">
        <v>489</v>
      </c>
      <c r="D27" s="349"/>
      <c r="E27" s="354"/>
      <c r="F27" s="167">
        <f t="shared" si="2"/>
        <v>0</v>
      </c>
    </row>
    <row r="28" spans="1:6" ht="18" hidden="1" customHeight="1">
      <c r="A28" s="206" t="s">
        <v>490</v>
      </c>
      <c r="B28" s="208"/>
      <c r="C28" s="207" t="s">
        <v>491</v>
      </c>
      <c r="D28" s="349"/>
      <c r="E28" s="354"/>
      <c r="F28" s="167">
        <f t="shared" si="2"/>
        <v>0</v>
      </c>
    </row>
    <row r="29" spans="1:6" ht="20.25">
      <c r="A29" s="204" t="s">
        <v>0</v>
      </c>
      <c r="B29" s="205"/>
      <c r="C29" s="211" t="s">
        <v>492</v>
      </c>
      <c r="D29" s="350">
        <f>D30</f>
        <v>92161</v>
      </c>
      <c r="E29" s="409">
        <f>E30</f>
        <v>0</v>
      </c>
      <c r="F29" s="167">
        <f t="shared" si="2"/>
        <v>92161</v>
      </c>
    </row>
    <row r="30" spans="1:6" ht="21" customHeight="1">
      <c r="A30" s="204" t="s">
        <v>1</v>
      </c>
      <c r="B30" s="205"/>
      <c r="C30" s="203" t="s">
        <v>493</v>
      </c>
      <c r="D30" s="350">
        <f>D31+D34+D38+D39</f>
        <v>92161</v>
      </c>
      <c r="E30" s="409">
        <f>E31+E34+E38+E39</f>
        <v>0</v>
      </c>
      <c r="F30" s="167">
        <f t="shared" si="2"/>
        <v>92161</v>
      </c>
    </row>
    <row r="31" spans="1:6" ht="18" customHeight="1">
      <c r="A31" s="206" t="s">
        <v>979</v>
      </c>
      <c r="B31" s="208"/>
      <c r="C31" s="203" t="s">
        <v>827</v>
      </c>
      <c r="D31" s="349">
        <f>D889</f>
        <v>67571</v>
      </c>
      <c r="E31" s="354">
        <f>E889</f>
        <v>0</v>
      </c>
      <c r="F31" s="167">
        <f t="shared" si="2"/>
        <v>67571</v>
      </c>
    </row>
    <row r="32" spans="1:6" ht="18" hidden="1" customHeight="1">
      <c r="A32" s="212"/>
      <c r="B32" s="208" t="s">
        <v>2</v>
      </c>
      <c r="C32" s="203" t="s">
        <v>828</v>
      </c>
      <c r="D32" s="349"/>
      <c r="E32" s="354"/>
      <c r="F32" s="167">
        <f t="shared" si="2"/>
        <v>0</v>
      </c>
    </row>
    <row r="33" spans="1:6" ht="18" hidden="1" customHeight="1">
      <c r="A33" s="338" t="s">
        <v>188</v>
      </c>
      <c r="B33" s="205"/>
      <c r="C33" s="203" t="s">
        <v>829</v>
      </c>
      <c r="D33" s="349"/>
      <c r="E33" s="354"/>
      <c r="F33" s="167">
        <f t="shared" si="2"/>
        <v>0</v>
      </c>
    </row>
    <row r="34" spans="1:6" ht="18" customHeight="1">
      <c r="A34" s="206" t="s">
        <v>3</v>
      </c>
      <c r="B34" s="208"/>
      <c r="C34" s="203" t="s">
        <v>830</v>
      </c>
      <c r="D34" s="349">
        <f>D892</f>
        <v>21669</v>
      </c>
      <c r="E34" s="354">
        <f>E892</f>
        <v>0</v>
      </c>
      <c r="F34" s="167">
        <f t="shared" si="2"/>
        <v>21669</v>
      </c>
    </row>
    <row r="35" spans="1:6" ht="18" hidden="1" customHeight="1">
      <c r="A35" s="206"/>
      <c r="B35" s="208" t="s">
        <v>5</v>
      </c>
      <c r="C35" s="203" t="s">
        <v>831</v>
      </c>
      <c r="D35" s="349"/>
      <c r="E35" s="354"/>
      <c r="F35" s="167">
        <f t="shared" si="2"/>
        <v>0</v>
      </c>
    </row>
    <row r="36" spans="1:6" ht="18" hidden="1" customHeight="1">
      <c r="A36" s="206"/>
      <c r="B36" s="208" t="s">
        <v>189</v>
      </c>
      <c r="C36" s="203" t="s">
        <v>832</v>
      </c>
      <c r="D36" s="349"/>
      <c r="E36" s="354"/>
      <c r="F36" s="167">
        <f t="shared" si="2"/>
        <v>0</v>
      </c>
    </row>
    <row r="37" spans="1:6" ht="18" hidden="1" customHeight="1">
      <c r="A37" s="206"/>
      <c r="B37" s="208" t="s">
        <v>833</v>
      </c>
      <c r="C37" s="203" t="s">
        <v>834</v>
      </c>
      <c r="D37" s="349"/>
      <c r="E37" s="354"/>
      <c r="F37" s="167">
        <f t="shared" si="2"/>
        <v>0</v>
      </c>
    </row>
    <row r="38" spans="1:6" ht="20.25">
      <c r="A38" s="524" t="s">
        <v>978</v>
      </c>
      <c r="B38" s="529"/>
      <c r="C38" s="203" t="s">
        <v>836</v>
      </c>
      <c r="D38" s="349">
        <f>D896</f>
        <v>2863</v>
      </c>
      <c r="E38" s="354">
        <f>E896</f>
        <v>0</v>
      </c>
      <c r="F38" s="167">
        <f t="shared" si="2"/>
        <v>2863</v>
      </c>
    </row>
    <row r="39" spans="1:6" ht="18" customHeight="1">
      <c r="A39" s="204" t="s">
        <v>6</v>
      </c>
      <c r="B39" s="208"/>
      <c r="C39" s="203" t="s">
        <v>494</v>
      </c>
      <c r="D39" s="349">
        <f>D897</f>
        <v>58</v>
      </c>
      <c r="E39" s="354">
        <f>E897</f>
        <v>0</v>
      </c>
      <c r="F39" s="167">
        <f t="shared" si="2"/>
        <v>58</v>
      </c>
    </row>
    <row r="40" spans="1:6" ht="20.25">
      <c r="A40" s="204" t="s">
        <v>7</v>
      </c>
      <c r="B40" s="205"/>
      <c r="C40" s="211" t="s">
        <v>495</v>
      </c>
      <c r="D40" s="350">
        <f>D41+D49+D51+D54</f>
        <v>144353</v>
      </c>
      <c r="E40" s="409">
        <f>E41+E49+E51+E54</f>
        <v>0</v>
      </c>
      <c r="F40" s="167">
        <f t="shared" si="2"/>
        <v>144353</v>
      </c>
    </row>
    <row r="41" spans="1:6" ht="20.25">
      <c r="A41" s="212" t="s">
        <v>8</v>
      </c>
      <c r="B41" s="205"/>
      <c r="C41" s="203" t="s">
        <v>496</v>
      </c>
      <c r="D41" s="350">
        <f>SUM(D42:D48)</f>
        <v>101029</v>
      </c>
      <c r="E41" s="409">
        <f>SUM(E42:E48)</f>
        <v>0</v>
      </c>
      <c r="F41" s="167">
        <f t="shared" si="2"/>
        <v>101029</v>
      </c>
    </row>
    <row r="42" spans="1:6" ht="36" hidden="1" customHeight="1">
      <c r="A42" s="522" t="s">
        <v>190</v>
      </c>
      <c r="B42" s="529"/>
      <c r="C42" s="203" t="s">
        <v>191</v>
      </c>
      <c r="D42" s="350">
        <f>D900</f>
        <v>0</v>
      </c>
      <c r="E42" s="409">
        <f>E900</f>
        <v>0</v>
      </c>
      <c r="F42" s="167">
        <f t="shared" si="2"/>
        <v>0</v>
      </c>
    </row>
    <row r="43" spans="1:6" ht="54" customHeight="1">
      <c r="A43" s="522" t="s">
        <v>9</v>
      </c>
      <c r="B43" s="529"/>
      <c r="C43" s="203" t="s">
        <v>497</v>
      </c>
      <c r="D43" s="350">
        <f>D901</f>
        <v>88647</v>
      </c>
      <c r="E43" s="409">
        <f>E901</f>
        <v>0</v>
      </c>
      <c r="F43" s="167">
        <f t="shared" si="2"/>
        <v>88647</v>
      </c>
    </row>
    <row r="44" spans="1:6" ht="18" hidden="1" customHeight="1">
      <c r="A44" s="522" t="s">
        <v>10</v>
      </c>
      <c r="B44" s="529"/>
      <c r="C44" s="202" t="s">
        <v>498</v>
      </c>
      <c r="D44" s="349"/>
      <c r="E44" s="354"/>
      <c r="F44" s="167">
        <f t="shared" si="2"/>
        <v>0</v>
      </c>
    </row>
    <row r="45" spans="1:6" ht="18" hidden="1" customHeight="1">
      <c r="A45" s="522" t="s">
        <v>192</v>
      </c>
      <c r="B45" s="529"/>
      <c r="C45" s="203" t="s">
        <v>193</v>
      </c>
      <c r="D45" s="349"/>
      <c r="E45" s="354"/>
      <c r="F45" s="167">
        <f t="shared" si="2"/>
        <v>0</v>
      </c>
    </row>
    <row r="46" spans="1:6" ht="18" hidden="1" customHeight="1">
      <c r="A46" s="340" t="s">
        <v>194</v>
      </c>
      <c r="B46" s="208"/>
      <c r="C46" s="203" t="s">
        <v>195</v>
      </c>
      <c r="D46" s="349"/>
      <c r="E46" s="354"/>
      <c r="F46" s="167">
        <f t="shared" si="2"/>
        <v>0</v>
      </c>
    </row>
    <row r="47" spans="1:6" ht="39" customHeight="1">
      <c r="A47" s="520" t="s">
        <v>11</v>
      </c>
      <c r="B47" s="529"/>
      <c r="C47" s="203" t="s">
        <v>499</v>
      </c>
      <c r="D47" s="349">
        <f>D905</f>
        <v>725</v>
      </c>
      <c r="E47" s="354">
        <f>E905</f>
        <v>0</v>
      </c>
      <c r="F47" s="167">
        <f t="shared" si="2"/>
        <v>725</v>
      </c>
    </row>
    <row r="48" spans="1:6" ht="38.25" customHeight="1">
      <c r="A48" s="522" t="s">
        <v>837</v>
      </c>
      <c r="B48" s="523"/>
      <c r="C48" s="203" t="s">
        <v>651</v>
      </c>
      <c r="D48" s="349">
        <f>D906</f>
        <v>11657</v>
      </c>
      <c r="E48" s="354">
        <f>E906</f>
        <v>0</v>
      </c>
      <c r="F48" s="167">
        <f t="shared" si="2"/>
        <v>11657</v>
      </c>
    </row>
    <row r="49" spans="1:6" ht="22.5" hidden="1" customHeight="1">
      <c r="A49" s="206" t="s">
        <v>12</v>
      </c>
      <c r="B49" s="213"/>
      <c r="C49" s="207" t="s">
        <v>500</v>
      </c>
      <c r="D49" s="350">
        <f>D50</f>
        <v>0</v>
      </c>
      <c r="E49" s="409">
        <f>E50</f>
        <v>0</v>
      </c>
      <c r="F49" s="167">
        <f t="shared" si="2"/>
        <v>0</v>
      </c>
    </row>
    <row r="50" spans="1:6" ht="18" hidden="1" customHeight="1">
      <c r="A50" s="204" t="s">
        <v>501</v>
      </c>
      <c r="B50" s="208"/>
      <c r="C50" s="341" t="s">
        <v>502</v>
      </c>
      <c r="D50" s="349">
        <f>D908</f>
        <v>0</v>
      </c>
      <c r="E50" s="354">
        <f>E908</f>
        <v>0</v>
      </c>
      <c r="F50" s="167">
        <f t="shared" si="2"/>
        <v>0</v>
      </c>
    </row>
    <row r="51" spans="1:6" ht="18.75" customHeight="1">
      <c r="A51" s="212" t="s">
        <v>13</v>
      </c>
      <c r="B51" s="205"/>
      <c r="C51" s="207" t="s">
        <v>503</v>
      </c>
      <c r="D51" s="350">
        <f>D52+D53</f>
        <v>251</v>
      </c>
      <c r="E51" s="409">
        <f>E52+E53</f>
        <v>0</v>
      </c>
      <c r="F51" s="167">
        <f t="shared" si="2"/>
        <v>251</v>
      </c>
    </row>
    <row r="52" spans="1:6" ht="18" customHeight="1">
      <c r="A52" s="206" t="s">
        <v>14</v>
      </c>
      <c r="B52" s="208"/>
      <c r="C52" s="207" t="s">
        <v>504</v>
      </c>
      <c r="D52" s="349">
        <f>D910</f>
        <v>209</v>
      </c>
      <c r="E52" s="354">
        <f>E910</f>
        <v>0</v>
      </c>
      <c r="F52" s="167">
        <f t="shared" si="2"/>
        <v>209</v>
      </c>
    </row>
    <row r="53" spans="1:6" ht="18" customHeight="1">
      <c r="A53" s="212" t="s">
        <v>838</v>
      </c>
      <c r="B53" s="208"/>
      <c r="C53" s="207" t="s">
        <v>15</v>
      </c>
      <c r="D53" s="349">
        <f>D911</f>
        <v>42</v>
      </c>
      <c r="E53" s="354">
        <f>E911</f>
        <v>0</v>
      </c>
      <c r="F53" s="167">
        <f t="shared" si="2"/>
        <v>42</v>
      </c>
    </row>
    <row r="54" spans="1:6" ht="20.25">
      <c r="A54" s="524" t="s">
        <v>16</v>
      </c>
      <c r="B54" s="529"/>
      <c r="C54" s="207" t="s">
        <v>505</v>
      </c>
      <c r="D54" s="350">
        <f>D55+D58+D59</f>
        <v>43073</v>
      </c>
      <c r="E54" s="409">
        <f>E55+E58+E59</f>
        <v>0</v>
      </c>
      <c r="F54" s="167">
        <f t="shared" si="2"/>
        <v>43073</v>
      </c>
    </row>
    <row r="55" spans="1:6" ht="18" customHeight="1">
      <c r="A55" s="206" t="s">
        <v>980</v>
      </c>
      <c r="B55" s="208"/>
      <c r="C55" s="207" t="s">
        <v>840</v>
      </c>
      <c r="D55" s="349">
        <f>D913</f>
        <v>34432</v>
      </c>
      <c r="E55" s="354">
        <f>E913</f>
        <v>0</v>
      </c>
      <c r="F55" s="167">
        <f t="shared" si="2"/>
        <v>34432</v>
      </c>
    </row>
    <row r="56" spans="1:6" ht="36" hidden="1" customHeight="1">
      <c r="A56" s="206"/>
      <c r="B56" s="208" t="s">
        <v>841</v>
      </c>
      <c r="C56" s="342" t="s">
        <v>842</v>
      </c>
      <c r="D56" s="349"/>
      <c r="E56" s="354"/>
      <c r="F56" s="167">
        <f t="shared" si="2"/>
        <v>0</v>
      </c>
    </row>
    <row r="57" spans="1:6" ht="36" hidden="1" customHeight="1">
      <c r="A57" s="206"/>
      <c r="B57" s="208" t="s">
        <v>843</v>
      </c>
      <c r="C57" s="207" t="s">
        <v>844</v>
      </c>
      <c r="D57" s="349"/>
      <c r="E57" s="354"/>
      <c r="F57" s="167">
        <f t="shared" si="2"/>
        <v>0</v>
      </c>
    </row>
    <row r="58" spans="1:6" ht="22.5" customHeight="1">
      <c r="A58" s="524" t="s">
        <v>506</v>
      </c>
      <c r="B58" s="525"/>
      <c r="C58" s="207" t="s">
        <v>845</v>
      </c>
      <c r="D58" s="349">
        <f>D916</f>
        <v>4008</v>
      </c>
      <c r="E58" s="354">
        <f>E916</f>
        <v>0</v>
      </c>
      <c r="F58" s="167">
        <f t="shared" ref="F58:F89" si="3">D58+E58</f>
        <v>4008</v>
      </c>
    </row>
    <row r="59" spans="1:6" ht="40.5" customHeight="1">
      <c r="A59" s="524" t="s">
        <v>17</v>
      </c>
      <c r="B59" s="529"/>
      <c r="C59" s="207" t="s">
        <v>846</v>
      </c>
      <c r="D59" s="349">
        <f>D917</f>
        <v>4633</v>
      </c>
      <c r="E59" s="354">
        <f>E917</f>
        <v>0</v>
      </c>
      <c r="F59" s="167">
        <f t="shared" si="3"/>
        <v>4633</v>
      </c>
    </row>
    <row r="60" spans="1:6" ht="22.5" customHeight="1">
      <c r="A60" s="212" t="s">
        <v>18</v>
      </c>
      <c r="B60" s="205"/>
      <c r="C60" s="211" t="s">
        <v>507</v>
      </c>
      <c r="D60" s="350">
        <f>D61</f>
        <v>597</v>
      </c>
      <c r="E60" s="409">
        <f>E61</f>
        <v>0</v>
      </c>
      <c r="F60" s="167">
        <f t="shared" si="3"/>
        <v>597</v>
      </c>
    </row>
    <row r="61" spans="1:6" ht="21" customHeight="1">
      <c r="A61" s="212" t="s">
        <v>19</v>
      </c>
      <c r="B61" s="205"/>
      <c r="C61" s="207" t="s">
        <v>508</v>
      </c>
      <c r="D61" s="350">
        <f>D62</f>
        <v>597</v>
      </c>
      <c r="E61" s="409">
        <f>E62</f>
        <v>0</v>
      </c>
      <c r="F61" s="167">
        <f t="shared" si="3"/>
        <v>597</v>
      </c>
    </row>
    <row r="62" spans="1:6" ht="18" customHeight="1">
      <c r="A62" s="212" t="s">
        <v>509</v>
      </c>
      <c r="B62" s="208"/>
      <c r="C62" s="207" t="s">
        <v>510</v>
      </c>
      <c r="D62" s="349">
        <f>D920</f>
        <v>597</v>
      </c>
      <c r="E62" s="354">
        <f>E920</f>
        <v>0</v>
      </c>
      <c r="F62" s="167">
        <f t="shared" si="3"/>
        <v>597</v>
      </c>
    </row>
    <row r="63" spans="1:6" ht="22.5" customHeight="1">
      <c r="A63" s="204" t="s">
        <v>20</v>
      </c>
      <c r="B63" s="205"/>
      <c r="C63" s="211" t="s">
        <v>511</v>
      </c>
      <c r="D63" s="350">
        <f>D64+D73</f>
        <v>61935</v>
      </c>
      <c r="E63" s="409">
        <f>E64+E73</f>
        <v>0</v>
      </c>
      <c r="F63" s="167">
        <f t="shared" si="3"/>
        <v>61935</v>
      </c>
    </row>
    <row r="64" spans="1:6" ht="24" customHeight="1">
      <c r="A64" s="206" t="s">
        <v>21</v>
      </c>
      <c r="B64" s="205"/>
      <c r="C64" s="211" t="s">
        <v>512</v>
      </c>
      <c r="D64" s="350">
        <f>D65</f>
        <v>16771</v>
      </c>
      <c r="E64" s="409">
        <f>E65</f>
        <v>0</v>
      </c>
      <c r="F64" s="167">
        <f t="shared" si="3"/>
        <v>16771</v>
      </c>
    </row>
    <row r="65" spans="1:6" ht="20.25" customHeight="1">
      <c r="A65" s="206" t="s">
        <v>22</v>
      </c>
      <c r="B65" s="205"/>
      <c r="C65" s="207" t="s">
        <v>513</v>
      </c>
      <c r="D65" s="349">
        <f>D66+D67+D68+D69</f>
        <v>16771</v>
      </c>
      <c r="E65" s="354">
        <f>E66+E67+E68+E69</f>
        <v>0</v>
      </c>
      <c r="F65" s="167">
        <f t="shared" si="3"/>
        <v>16771</v>
      </c>
    </row>
    <row r="66" spans="1:6" ht="36.75" customHeight="1">
      <c r="A66" s="549" t="s">
        <v>23</v>
      </c>
      <c r="B66" s="529"/>
      <c r="C66" s="207" t="s">
        <v>514</v>
      </c>
      <c r="D66" s="349">
        <f>D924</f>
        <v>196</v>
      </c>
      <c r="E66" s="354">
        <f>E924</f>
        <v>0</v>
      </c>
      <c r="F66" s="167">
        <f t="shared" si="3"/>
        <v>196</v>
      </c>
    </row>
    <row r="67" spans="1:6" ht="18" hidden="1" customHeight="1">
      <c r="A67" s="206" t="s">
        <v>515</v>
      </c>
      <c r="B67" s="208"/>
      <c r="C67" s="207" t="s">
        <v>516</v>
      </c>
      <c r="D67" s="349"/>
      <c r="E67" s="354"/>
      <c r="F67" s="167">
        <f t="shared" si="3"/>
        <v>0</v>
      </c>
    </row>
    <row r="68" spans="1:6" ht="18" customHeight="1">
      <c r="A68" s="206" t="s">
        <v>517</v>
      </c>
      <c r="B68" s="208"/>
      <c r="C68" s="207" t="s">
        <v>518</v>
      </c>
      <c r="D68" s="349">
        <f>D926</f>
        <v>15728</v>
      </c>
      <c r="E68" s="349">
        <f>E926</f>
        <v>0</v>
      </c>
      <c r="F68" s="167">
        <f t="shared" si="3"/>
        <v>15728</v>
      </c>
    </row>
    <row r="69" spans="1:6" ht="18" customHeight="1">
      <c r="A69" s="206" t="s">
        <v>519</v>
      </c>
      <c r="B69" s="208"/>
      <c r="C69" s="207" t="s">
        <v>520</v>
      </c>
      <c r="D69" s="349">
        <f>D927</f>
        <v>847</v>
      </c>
      <c r="E69" s="354">
        <f>E927</f>
        <v>0</v>
      </c>
      <c r="F69" s="167">
        <f t="shared" si="3"/>
        <v>847</v>
      </c>
    </row>
    <row r="70" spans="1:6" ht="18" hidden="1" customHeight="1">
      <c r="A70" s="206" t="s">
        <v>196</v>
      </c>
      <c r="B70" s="208"/>
      <c r="C70" s="207" t="s">
        <v>197</v>
      </c>
      <c r="D70" s="349"/>
      <c r="E70" s="354"/>
      <c r="F70" s="167">
        <f t="shared" si="3"/>
        <v>0</v>
      </c>
    </row>
    <row r="71" spans="1:6" ht="18" hidden="1" customHeight="1">
      <c r="A71" s="340"/>
      <c r="B71" s="205"/>
      <c r="C71" s="342" t="s">
        <v>198</v>
      </c>
      <c r="D71" s="349"/>
      <c r="E71" s="354"/>
      <c r="F71" s="167">
        <f t="shared" si="3"/>
        <v>0</v>
      </c>
    </row>
    <row r="72" spans="1:6" ht="18" hidden="1" customHeight="1">
      <c r="A72" s="206" t="s">
        <v>199</v>
      </c>
      <c r="B72" s="208"/>
      <c r="C72" s="342" t="s">
        <v>200</v>
      </c>
      <c r="D72" s="349"/>
      <c r="E72" s="354"/>
      <c r="F72" s="167">
        <f t="shared" si="3"/>
        <v>0</v>
      </c>
    </row>
    <row r="73" spans="1:6" ht="20.25">
      <c r="A73" s="204" t="s">
        <v>24</v>
      </c>
      <c r="B73" s="205"/>
      <c r="C73" s="211" t="s">
        <v>521</v>
      </c>
      <c r="D73" s="350">
        <f>D74+D82+D85+D90+D96</f>
        <v>45164</v>
      </c>
      <c r="E73" s="409">
        <f>E74+E82+E85+E90+E96</f>
        <v>0</v>
      </c>
      <c r="F73" s="167">
        <f t="shared" si="3"/>
        <v>45164</v>
      </c>
    </row>
    <row r="74" spans="1:6" ht="19.5" customHeight="1">
      <c r="A74" s="204" t="s">
        <v>25</v>
      </c>
      <c r="B74" s="205"/>
      <c r="C74" s="202" t="s">
        <v>522</v>
      </c>
      <c r="D74" s="350">
        <f>SUM(D75:D81)</f>
        <v>3078</v>
      </c>
      <c r="E74" s="409">
        <f>SUM(E75:E81)</f>
        <v>0</v>
      </c>
      <c r="F74" s="167">
        <f t="shared" si="3"/>
        <v>3078</v>
      </c>
    </row>
    <row r="75" spans="1:6" ht="18" customHeight="1">
      <c r="A75" s="206" t="s">
        <v>847</v>
      </c>
      <c r="B75" s="208"/>
      <c r="C75" s="202" t="s">
        <v>523</v>
      </c>
      <c r="D75" s="349">
        <f t="shared" ref="D75:E77" si="4">D933</f>
        <v>1238</v>
      </c>
      <c r="E75" s="354">
        <f t="shared" si="4"/>
        <v>0</v>
      </c>
      <c r="F75" s="167">
        <f t="shared" si="3"/>
        <v>1238</v>
      </c>
    </row>
    <row r="76" spans="1:6" ht="20.25">
      <c r="A76" s="524" t="s">
        <v>524</v>
      </c>
      <c r="B76" s="529"/>
      <c r="C76" s="202" t="s">
        <v>525</v>
      </c>
      <c r="D76" s="349">
        <f t="shared" si="4"/>
        <v>678</v>
      </c>
      <c r="E76" s="354">
        <f t="shared" si="4"/>
        <v>0</v>
      </c>
      <c r="F76" s="167">
        <f t="shared" si="3"/>
        <v>678</v>
      </c>
    </row>
    <row r="77" spans="1:6" ht="18" customHeight="1">
      <c r="A77" s="206" t="s">
        <v>526</v>
      </c>
      <c r="B77" s="208"/>
      <c r="C77" s="202" t="s">
        <v>527</v>
      </c>
      <c r="D77" s="349">
        <f t="shared" si="4"/>
        <v>54</v>
      </c>
      <c r="E77" s="354">
        <f t="shared" si="4"/>
        <v>0</v>
      </c>
      <c r="F77" s="167">
        <f t="shared" si="3"/>
        <v>54</v>
      </c>
    </row>
    <row r="78" spans="1:6" ht="18" customHeight="1">
      <c r="A78" s="206" t="s">
        <v>1053</v>
      </c>
      <c r="B78" s="208"/>
      <c r="C78" s="202" t="s">
        <v>1052</v>
      </c>
      <c r="D78" s="349">
        <f>D936</f>
        <v>14</v>
      </c>
      <c r="E78" s="349">
        <f>E936</f>
        <v>0</v>
      </c>
      <c r="F78" s="167">
        <f t="shared" si="3"/>
        <v>14</v>
      </c>
    </row>
    <row r="79" spans="1:6" ht="39.75" customHeight="1">
      <c r="A79" s="524" t="s">
        <v>528</v>
      </c>
      <c r="B79" s="529"/>
      <c r="C79" s="202" t="s">
        <v>529</v>
      </c>
      <c r="D79" s="349">
        <f t="shared" ref="D79:E81" si="5">D938</f>
        <v>0</v>
      </c>
      <c r="E79" s="354">
        <f t="shared" si="5"/>
        <v>0</v>
      </c>
      <c r="F79" s="167">
        <f t="shared" si="3"/>
        <v>0</v>
      </c>
    </row>
    <row r="80" spans="1:6" ht="36.75" customHeight="1">
      <c r="A80" s="524" t="s">
        <v>530</v>
      </c>
      <c r="B80" s="525"/>
      <c r="C80" s="202" t="s">
        <v>531</v>
      </c>
      <c r="D80" s="349">
        <f t="shared" si="5"/>
        <v>287</v>
      </c>
      <c r="E80" s="354">
        <f t="shared" si="5"/>
        <v>0</v>
      </c>
      <c r="F80" s="167">
        <f t="shared" si="3"/>
        <v>287</v>
      </c>
    </row>
    <row r="81" spans="1:6" ht="18" customHeight="1">
      <c r="A81" s="206" t="s">
        <v>203</v>
      </c>
      <c r="B81" s="208"/>
      <c r="C81" s="202" t="s">
        <v>204</v>
      </c>
      <c r="D81" s="349">
        <f t="shared" si="5"/>
        <v>807</v>
      </c>
      <c r="E81" s="354">
        <f t="shared" si="5"/>
        <v>0</v>
      </c>
      <c r="F81" s="167">
        <f t="shared" si="3"/>
        <v>807</v>
      </c>
    </row>
    <row r="82" spans="1:6" ht="29.25" hidden="1" customHeight="1">
      <c r="A82" s="212" t="s">
        <v>26</v>
      </c>
      <c r="B82" s="213"/>
      <c r="C82" s="202" t="s">
        <v>532</v>
      </c>
      <c r="D82" s="350">
        <f>D83+D84</f>
        <v>0</v>
      </c>
      <c r="E82" s="409">
        <f>E83+E84</f>
        <v>0</v>
      </c>
      <c r="F82" s="167">
        <f t="shared" si="3"/>
        <v>0</v>
      </c>
    </row>
    <row r="83" spans="1:6" ht="18" hidden="1" customHeight="1">
      <c r="A83" s="212" t="s">
        <v>533</v>
      </c>
      <c r="B83" s="208"/>
      <c r="C83" s="202" t="s">
        <v>534</v>
      </c>
      <c r="D83" s="349">
        <f>D942</f>
        <v>0</v>
      </c>
      <c r="E83" s="354">
        <f>E942</f>
        <v>0</v>
      </c>
      <c r="F83" s="167">
        <f t="shared" si="3"/>
        <v>0</v>
      </c>
    </row>
    <row r="84" spans="1:6" ht="0.75" customHeight="1" thickBot="1">
      <c r="A84" s="343" t="s">
        <v>205</v>
      </c>
      <c r="B84" s="344"/>
      <c r="C84" s="345" t="s">
        <v>206</v>
      </c>
      <c r="D84" s="486"/>
      <c r="E84" s="410"/>
      <c r="F84" s="167">
        <f t="shared" si="3"/>
        <v>0</v>
      </c>
    </row>
    <row r="85" spans="1:6" ht="22.5" customHeight="1">
      <c r="A85" s="346" t="s">
        <v>27</v>
      </c>
      <c r="B85" s="400"/>
      <c r="C85" s="347" t="s">
        <v>535</v>
      </c>
      <c r="D85" s="348">
        <f>SUM(D86:D89)</f>
        <v>12477</v>
      </c>
      <c r="E85" s="411">
        <f>SUM(E86:E89)</f>
        <v>0</v>
      </c>
      <c r="F85" s="167">
        <f t="shared" si="3"/>
        <v>12477</v>
      </c>
    </row>
    <row r="86" spans="1:6" ht="36.75" customHeight="1">
      <c r="A86" s="524" t="s">
        <v>28</v>
      </c>
      <c r="B86" s="525"/>
      <c r="C86" s="202" t="s">
        <v>536</v>
      </c>
      <c r="D86" s="349">
        <f t="shared" ref="D86:E88" si="6">D945</f>
        <v>12477</v>
      </c>
      <c r="E86" s="354">
        <f t="shared" si="6"/>
        <v>0</v>
      </c>
      <c r="F86" s="167">
        <f t="shared" si="3"/>
        <v>12477</v>
      </c>
    </row>
    <row r="87" spans="1:6" ht="39" hidden="1" customHeight="1">
      <c r="A87" s="549" t="s">
        <v>29</v>
      </c>
      <c r="B87" s="529"/>
      <c r="C87" s="202" t="s">
        <v>537</v>
      </c>
      <c r="D87" s="349">
        <f t="shared" si="6"/>
        <v>0</v>
      </c>
      <c r="E87" s="354">
        <f t="shared" si="6"/>
        <v>0</v>
      </c>
      <c r="F87" s="167">
        <f t="shared" si="3"/>
        <v>0</v>
      </c>
    </row>
    <row r="88" spans="1:6" ht="38.25" customHeight="1">
      <c r="A88" s="524" t="s">
        <v>207</v>
      </c>
      <c r="B88" s="529"/>
      <c r="C88" s="202" t="s">
        <v>208</v>
      </c>
      <c r="D88" s="349">
        <f t="shared" si="6"/>
        <v>0</v>
      </c>
      <c r="E88" s="354">
        <f t="shared" si="6"/>
        <v>0</v>
      </c>
      <c r="F88" s="167">
        <f t="shared" si="3"/>
        <v>0</v>
      </c>
    </row>
    <row r="89" spans="1:6" ht="18" hidden="1" customHeight="1">
      <c r="A89" s="204" t="s">
        <v>209</v>
      </c>
      <c r="B89" s="208"/>
      <c r="C89" s="202" t="s">
        <v>848</v>
      </c>
      <c r="D89" s="349"/>
      <c r="E89" s="354"/>
      <c r="F89" s="167">
        <f t="shared" si="3"/>
        <v>0</v>
      </c>
    </row>
    <row r="90" spans="1:6" ht="21" customHeight="1">
      <c r="A90" s="212" t="s">
        <v>636</v>
      </c>
      <c r="B90" s="205"/>
      <c r="C90" s="202" t="s">
        <v>538</v>
      </c>
      <c r="D90" s="350">
        <f>SUM(D91:D95)</f>
        <v>29550</v>
      </c>
      <c r="E90" s="409">
        <f>SUM(E91:E95)</f>
        <v>0</v>
      </c>
      <c r="F90" s="167">
        <f t="shared" ref="F90:F121" si="7">D90+E90</f>
        <v>29550</v>
      </c>
    </row>
    <row r="91" spans="1:6" ht="18" hidden="1" customHeight="1">
      <c r="A91" s="206" t="s">
        <v>210</v>
      </c>
      <c r="B91" s="208"/>
      <c r="C91" s="202" t="s">
        <v>539</v>
      </c>
      <c r="D91" s="349"/>
      <c r="E91" s="354"/>
      <c r="F91" s="167">
        <f t="shared" si="7"/>
        <v>0</v>
      </c>
    </row>
    <row r="92" spans="1:6" ht="18" customHeight="1">
      <c r="A92" s="541" t="s">
        <v>337</v>
      </c>
      <c r="B92" s="529"/>
      <c r="C92" s="202" t="s">
        <v>333</v>
      </c>
      <c r="D92" s="349">
        <f>D951</f>
        <v>25781</v>
      </c>
      <c r="E92" s="354">
        <f>E951</f>
        <v>0</v>
      </c>
      <c r="F92" s="167">
        <f t="shared" si="7"/>
        <v>25781</v>
      </c>
    </row>
    <row r="93" spans="1:6" ht="18" customHeight="1">
      <c r="A93" s="541" t="s">
        <v>338</v>
      </c>
      <c r="B93" s="529"/>
      <c r="C93" s="202" t="s">
        <v>334</v>
      </c>
      <c r="D93" s="349">
        <f>D1760</f>
        <v>0</v>
      </c>
      <c r="E93" s="354">
        <f>E1760</f>
        <v>0</v>
      </c>
      <c r="F93" s="167">
        <f t="shared" si="7"/>
        <v>0</v>
      </c>
    </row>
    <row r="94" spans="1:6" ht="18" customHeight="1">
      <c r="A94" s="340" t="s">
        <v>849</v>
      </c>
      <c r="B94" s="208"/>
      <c r="C94" s="351" t="s">
        <v>666</v>
      </c>
      <c r="D94" s="349">
        <f>D1761</f>
        <v>566</v>
      </c>
      <c r="E94" s="354">
        <f>E1761</f>
        <v>0</v>
      </c>
      <c r="F94" s="167">
        <f t="shared" si="7"/>
        <v>566</v>
      </c>
    </row>
    <row r="95" spans="1:6" ht="18" customHeight="1">
      <c r="A95" s="206" t="s">
        <v>635</v>
      </c>
      <c r="B95" s="208"/>
      <c r="C95" s="202" t="s">
        <v>540</v>
      </c>
      <c r="D95" s="349">
        <f>D954</f>
        <v>3203</v>
      </c>
      <c r="E95" s="354">
        <f>E954</f>
        <v>0</v>
      </c>
      <c r="F95" s="167">
        <f t="shared" si="7"/>
        <v>3203</v>
      </c>
    </row>
    <row r="96" spans="1:6" ht="18.75" customHeight="1">
      <c r="A96" s="212" t="s">
        <v>30</v>
      </c>
      <c r="B96" s="205"/>
      <c r="C96" s="202" t="s">
        <v>541</v>
      </c>
      <c r="D96" s="350">
        <f>D97+D100+D98+D99</f>
        <v>59</v>
      </c>
      <c r="E96" s="409">
        <f>E97+E100+E98+E99</f>
        <v>0</v>
      </c>
      <c r="F96" s="167">
        <f t="shared" si="7"/>
        <v>59</v>
      </c>
    </row>
    <row r="97" spans="1:6" ht="18" customHeight="1">
      <c r="A97" s="206" t="s">
        <v>31</v>
      </c>
      <c r="B97" s="208"/>
      <c r="C97" s="202" t="s">
        <v>542</v>
      </c>
      <c r="D97" s="349">
        <f>D956</f>
        <v>59</v>
      </c>
      <c r="E97" s="354">
        <f>E956</f>
        <v>0</v>
      </c>
      <c r="F97" s="167">
        <f t="shared" si="7"/>
        <v>59</v>
      </c>
    </row>
    <row r="98" spans="1:6" ht="36" customHeight="1">
      <c r="A98" s="564" t="s">
        <v>850</v>
      </c>
      <c r="B98" s="529"/>
      <c r="C98" s="202" t="s">
        <v>335</v>
      </c>
      <c r="D98" s="349">
        <f>D957</f>
        <v>-83276.2</v>
      </c>
      <c r="E98" s="354">
        <f>E957</f>
        <v>0</v>
      </c>
      <c r="F98" s="167">
        <f t="shared" si="7"/>
        <v>-83276.2</v>
      </c>
    </row>
    <row r="99" spans="1:6" ht="19.5" customHeight="1">
      <c r="A99" s="554" t="s">
        <v>851</v>
      </c>
      <c r="B99" s="529"/>
      <c r="C99" s="202" t="s">
        <v>328</v>
      </c>
      <c r="D99" s="349">
        <f>D1765</f>
        <v>83276.2</v>
      </c>
      <c r="E99" s="354">
        <f>E1765</f>
        <v>0</v>
      </c>
      <c r="F99" s="167">
        <f t="shared" si="7"/>
        <v>83276.2</v>
      </c>
    </row>
    <row r="100" spans="1:6" ht="18" hidden="1" customHeight="1">
      <c r="A100" s="204" t="s">
        <v>638</v>
      </c>
      <c r="B100" s="208"/>
      <c r="C100" s="202" t="s">
        <v>32</v>
      </c>
      <c r="D100" s="349"/>
      <c r="E100" s="354"/>
      <c r="F100" s="167">
        <f t="shared" si="7"/>
        <v>0</v>
      </c>
    </row>
    <row r="101" spans="1:6" ht="21" customHeight="1">
      <c r="A101" s="212" t="s">
        <v>33</v>
      </c>
      <c r="B101" s="205"/>
      <c r="C101" s="202" t="s">
        <v>543</v>
      </c>
      <c r="D101" s="350">
        <f>D102</f>
        <v>1511</v>
      </c>
      <c r="E101" s="409">
        <f>E102</f>
        <v>0</v>
      </c>
      <c r="F101" s="167">
        <f t="shared" si="7"/>
        <v>1511</v>
      </c>
    </row>
    <row r="102" spans="1:6" ht="16.5" customHeight="1">
      <c r="A102" s="212" t="s">
        <v>34</v>
      </c>
      <c r="B102" s="205"/>
      <c r="C102" s="202" t="s">
        <v>544</v>
      </c>
      <c r="D102" s="350">
        <f>D103+D104+D105+D106+D107</f>
        <v>1511</v>
      </c>
      <c r="E102" s="409">
        <f>E103+E104+E105+E106+E107</f>
        <v>0</v>
      </c>
      <c r="F102" s="167">
        <f t="shared" si="7"/>
        <v>1511</v>
      </c>
    </row>
    <row r="103" spans="1:6" ht="18" hidden="1" customHeight="1">
      <c r="A103" s="204" t="s">
        <v>211</v>
      </c>
      <c r="B103" s="208"/>
      <c r="C103" s="202" t="s">
        <v>212</v>
      </c>
      <c r="D103" s="349">
        <f t="shared" ref="D103:E107" si="8">D1768</f>
        <v>0</v>
      </c>
      <c r="E103" s="354">
        <f t="shared" si="8"/>
        <v>0</v>
      </c>
      <c r="F103" s="167">
        <f t="shared" si="7"/>
        <v>0</v>
      </c>
    </row>
    <row r="104" spans="1:6" ht="18" customHeight="1">
      <c r="A104" s="204" t="s">
        <v>35</v>
      </c>
      <c r="B104" s="208"/>
      <c r="C104" s="202" t="s">
        <v>545</v>
      </c>
      <c r="D104" s="349">
        <f t="shared" si="8"/>
        <v>501</v>
      </c>
      <c r="E104" s="354">
        <f t="shared" si="8"/>
        <v>0</v>
      </c>
      <c r="F104" s="167">
        <f t="shared" si="7"/>
        <v>501</v>
      </c>
    </row>
    <row r="105" spans="1:6" ht="18" hidden="1" customHeight="1">
      <c r="A105" s="204" t="s">
        <v>546</v>
      </c>
      <c r="B105" s="208"/>
      <c r="C105" s="202" t="s">
        <v>547</v>
      </c>
      <c r="D105" s="349">
        <f t="shared" si="8"/>
        <v>0</v>
      </c>
      <c r="E105" s="354">
        <f t="shared" si="8"/>
        <v>0</v>
      </c>
      <c r="F105" s="167">
        <f t="shared" si="7"/>
        <v>0</v>
      </c>
    </row>
    <row r="106" spans="1:6" ht="18" customHeight="1">
      <c r="A106" s="204" t="s">
        <v>36</v>
      </c>
      <c r="B106" s="208"/>
      <c r="C106" s="202" t="s">
        <v>548</v>
      </c>
      <c r="D106" s="349">
        <f t="shared" si="8"/>
        <v>1007</v>
      </c>
      <c r="E106" s="354">
        <f t="shared" si="8"/>
        <v>0</v>
      </c>
      <c r="F106" s="167">
        <f t="shared" si="7"/>
        <v>1007</v>
      </c>
    </row>
    <row r="107" spans="1:6" ht="18" customHeight="1">
      <c r="A107" s="541" t="s">
        <v>339</v>
      </c>
      <c r="B107" s="529"/>
      <c r="C107" s="202" t="s">
        <v>336</v>
      </c>
      <c r="D107" s="349">
        <f t="shared" si="8"/>
        <v>3</v>
      </c>
      <c r="E107" s="354">
        <f t="shared" si="8"/>
        <v>0</v>
      </c>
      <c r="F107" s="167">
        <f t="shared" si="7"/>
        <v>3</v>
      </c>
    </row>
    <row r="108" spans="1:6" ht="18" hidden="1" customHeight="1">
      <c r="A108" s="212" t="s">
        <v>37</v>
      </c>
      <c r="B108" s="205"/>
      <c r="C108" s="202" t="s">
        <v>975</v>
      </c>
      <c r="D108" s="349"/>
      <c r="E108" s="354"/>
      <c r="F108" s="167">
        <f t="shared" si="7"/>
        <v>0</v>
      </c>
    </row>
    <row r="109" spans="1:6" ht="29.25" hidden="1" customHeight="1">
      <c r="A109" s="212" t="s">
        <v>38</v>
      </c>
      <c r="B109" s="208"/>
      <c r="C109" s="202" t="s">
        <v>549</v>
      </c>
      <c r="D109" s="350">
        <f>D112+D113</f>
        <v>0</v>
      </c>
      <c r="E109" s="409">
        <f>E112+E113</f>
        <v>0</v>
      </c>
      <c r="F109" s="167">
        <f t="shared" si="7"/>
        <v>0</v>
      </c>
    </row>
    <row r="110" spans="1:6" ht="18" hidden="1" customHeight="1">
      <c r="A110" s="524" t="s">
        <v>39</v>
      </c>
      <c r="B110" s="529"/>
      <c r="C110" s="202" t="s">
        <v>550</v>
      </c>
      <c r="D110" s="349"/>
      <c r="E110" s="354"/>
      <c r="F110" s="167">
        <f t="shared" si="7"/>
        <v>0</v>
      </c>
    </row>
    <row r="111" spans="1:6" ht="18" hidden="1" customHeight="1">
      <c r="A111" s="204" t="s">
        <v>213</v>
      </c>
      <c r="B111" s="208"/>
      <c r="C111" s="202" t="s">
        <v>214</v>
      </c>
      <c r="D111" s="349"/>
      <c r="E111" s="354"/>
      <c r="F111" s="167">
        <f t="shared" si="7"/>
        <v>0</v>
      </c>
    </row>
    <row r="112" spans="1:6" ht="18" hidden="1" customHeight="1">
      <c r="A112" s="204" t="s">
        <v>215</v>
      </c>
      <c r="B112" s="208"/>
      <c r="C112" s="202" t="s">
        <v>216</v>
      </c>
      <c r="D112" s="349"/>
      <c r="E112" s="354"/>
      <c r="F112" s="167">
        <f t="shared" si="7"/>
        <v>0</v>
      </c>
    </row>
    <row r="113" spans="1:6" ht="18" hidden="1" customHeight="1">
      <c r="A113" s="204"/>
      <c r="B113" s="208" t="s">
        <v>852</v>
      </c>
      <c r="C113" s="202" t="s">
        <v>853</v>
      </c>
      <c r="D113" s="349">
        <f>D972</f>
        <v>0</v>
      </c>
      <c r="E113" s="354">
        <f>E972</f>
        <v>0</v>
      </c>
      <c r="F113" s="167">
        <f t="shared" si="7"/>
        <v>0</v>
      </c>
    </row>
    <row r="114" spans="1:6" ht="18" hidden="1" customHeight="1">
      <c r="A114" s="204" t="s">
        <v>217</v>
      </c>
      <c r="B114" s="208"/>
      <c r="C114" s="202" t="s">
        <v>218</v>
      </c>
      <c r="D114" s="349"/>
      <c r="E114" s="354"/>
      <c r="F114" s="167">
        <f t="shared" si="7"/>
        <v>0</v>
      </c>
    </row>
    <row r="115" spans="1:6" ht="18" hidden="1" customHeight="1">
      <c r="A115" s="204" t="s">
        <v>219</v>
      </c>
      <c r="B115" s="208"/>
      <c r="C115" s="202" t="s">
        <v>220</v>
      </c>
      <c r="D115" s="349"/>
      <c r="E115" s="354"/>
      <c r="F115" s="167">
        <f t="shared" si="7"/>
        <v>0</v>
      </c>
    </row>
    <row r="116" spans="1:6" ht="20.25">
      <c r="A116" s="204" t="s">
        <v>40</v>
      </c>
      <c r="B116" s="205"/>
      <c r="C116" s="202" t="s">
        <v>551</v>
      </c>
      <c r="D116" s="350">
        <f>D117</f>
        <v>450519</v>
      </c>
      <c r="E116" s="409">
        <f>E117</f>
        <v>5000</v>
      </c>
      <c r="F116" s="167">
        <f t="shared" si="7"/>
        <v>455519</v>
      </c>
    </row>
    <row r="117" spans="1:6" ht="20.25">
      <c r="A117" s="204" t="s">
        <v>41</v>
      </c>
      <c r="B117" s="205"/>
      <c r="C117" s="202" t="s">
        <v>552</v>
      </c>
      <c r="D117" s="350">
        <f>D118+D147</f>
        <v>450519</v>
      </c>
      <c r="E117" s="409">
        <f>E118+E147</f>
        <v>5000</v>
      </c>
      <c r="F117" s="167">
        <f t="shared" si="7"/>
        <v>455519</v>
      </c>
    </row>
    <row r="118" spans="1:6" ht="20.25">
      <c r="A118" s="204" t="s">
        <v>42</v>
      </c>
      <c r="B118" s="205"/>
      <c r="C118" s="202" t="s">
        <v>553</v>
      </c>
      <c r="D118" s="350">
        <f>SUM(D119:D146)</f>
        <v>415866</v>
      </c>
      <c r="E118" s="409">
        <f t="shared" ref="E118:F118" si="9">SUM(E119:E146)</f>
        <v>5000</v>
      </c>
      <c r="F118" s="482">
        <f t="shared" si="9"/>
        <v>420866</v>
      </c>
    </row>
    <row r="119" spans="1:6" ht="20.25" hidden="1" customHeight="1">
      <c r="A119" s="206" t="s">
        <v>221</v>
      </c>
      <c r="B119" s="208"/>
      <c r="C119" s="202" t="s">
        <v>222</v>
      </c>
      <c r="D119" s="349"/>
      <c r="E119" s="354"/>
      <c r="F119" s="167">
        <f t="shared" si="7"/>
        <v>0</v>
      </c>
    </row>
    <row r="120" spans="1:6" ht="20.25" hidden="1" customHeight="1">
      <c r="A120" s="206" t="s">
        <v>223</v>
      </c>
      <c r="B120" s="208"/>
      <c r="C120" s="202" t="s">
        <v>224</v>
      </c>
      <c r="D120" s="349"/>
      <c r="E120" s="354"/>
      <c r="F120" s="167">
        <f t="shared" si="7"/>
        <v>0</v>
      </c>
    </row>
    <row r="121" spans="1:6" ht="20.25" hidden="1" customHeight="1">
      <c r="A121" s="206" t="s">
        <v>225</v>
      </c>
      <c r="B121" s="208"/>
      <c r="C121" s="202" t="s">
        <v>226</v>
      </c>
      <c r="D121" s="349"/>
      <c r="E121" s="354"/>
      <c r="F121" s="167">
        <f t="shared" si="7"/>
        <v>0</v>
      </c>
    </row>
    <row r="122" spans="1:6" ht="20.25" hidden="1" customHeight="1">
      <c r="A122" s="206" t="s">
        <v>227</v>
      </c>
      <c r="B122" s="208"/>
      <c r="C122" s="202" t="s">
        <v>228</v>
      </c>
      <c r="D122" s="349"/>
      <c r="E122" s="354"/>
      <c r="F122" s="167">
        <f t="shared" ref="F122:F140" si="10">D122+E122</f>
        <v>0</v>
      </c>
    </row>
    <row r="123" spans="1:6" ht="20.25" hidden="1" customHeight="1">
      <c r="A123" s="524" t="s">
        <v>229</v>
      </c>
      <c r="B123" s="529"/>
      <c r="C123" s="202" t="s">
        <v>554</v>
      </c>
      <c r="D123" s="349"/>
      <c r="E123" s="354"/>
      <c r="F123" s="167">
        <f t="shared" si="10"/>
        <v>0</v>
      </c>
    </row>
    <row r="124" spans="1:6" ht="20.25" hidden="1" customHeight="1">
      <c r="A124" s="206" t="s">
        <v>230</v>
      </c>
      <c r="B124" s="208"/>
      <c r="C124" s="202" t="s">
        <v>231</v>
      </c>
      <c r="D124" s="349"/>
      <c r="E124" s="354"/>
      <c r="F124" s="167">
        <f t="shared" si="10"/>
        <v>0</v>
      </c>
    </row>
    <row r="125" spans="1:6" ht="40.5" customHeight="1">
      <c r="A125" s="524" t="s">
        <v>232</v>
      </c>
      <c r="B125" s="529"/>
      <c r="C125" s="202" t="s">
        <v>233</v>
      </c>
      <c r="D125" s="349">
        <f>D1790</f>
        <v>5000</v>
      </c>
      <c r="E125" s="354">
        <f>E1790</f>
        <v>0</v>
      </c>
      <c r="F125" s="167">
        <f t="shared" si="10"/>
        <v>5000</v>
      </c>
    </row>
    <row r="126" spans="1:6" ht="36.75" hidden="1" customHeight="1">
      <c r="A126" s="469"/>
      <c r="B126" s="470" t="s">
        <v>294</v>
      </c>
      <c r="C126" s="202" t="s">
        <v>288</v>
      </c>
      <c r="D126" s="349"/>
      <c r="E126" s="354"/>
      <c r="F126" s="167">
        <f t="shared" si="10"/>
        <v>0</v>
      </c>
    </row>
    <row r="127" spans="1:6" ht="20.25" hidden="1" customHeight="1">
      <c r="A127" s="469"/>
      <c r="B127" s="470" t="s">
        <v>295</v>
      </c>
      <c r="C127" s="202" t="s">
        <v>296</v>
      </c>
      <c r="D127" s="349"/>
      <c r="E127" s="354"/>
      <c r="F127" s="167">
        <f t="shared" si="10"/>
        <v>0</v>
      </c>
    </row>
    <row r="128" spans="1:6" ht="37.5" customHeight="1">
      <c r="A128" s="524" t="s">
        <v>996</v>
      </c>
      <c r="B128" s="529"/>
      <c r="C128" s="202" t="s">
        <v>995</v>
      </c>
      <c r="D128" s="349">
        <f>D1793</f>
        <v>7500</v>
      </c>
      <c r="E128" s="354">
        <f>E1793</f>
        <v>0</v>
      </c>
      <c r="F128" s="167">
        <f t="shared" si="10"/>
        <v>7500</v>
      </c>
    </row>
    <row r="129" spans="1:6" ht="36" hidden="1" customHeight="1">
      <c r="A129" s="469"/>
      <c r="B129" s="470" t="s">
        <v>297</v>
      </c>
      <c r="C129" s="202" t="s">
        <v>291</v>
      </c>
      <c r="D129" s="349"/>
      <c r="E129" s="354"/>
      <c r="F129" s="167">
        <f t="shared" si="10"/>
        <v>0</v>
      </c>
    </row>
    <row r="130" spans="1:6" ht="36" hidden="1" customHeight="1">
      <c r="A130" s="461"/>
      <c r="B130" s="462" t="s">
        <v>340</v>
      </c>
      <c r="C130" s="202" t="s">
        <v>332</v>
      </c>
      <c r="D130" s="349"/>
      <c r="E130" s="354"/>
      <c r="F130" s="167">
        <f t="shared" si="10"/>
        <v>0</v>
      </c>
    </row>
    <row r="131" spans="1:6" ht="33.75" hidden="1" customHeight="1">
      <c r="A131" s="524" t="s">
        <v>341</v>
      </c>
      <c r="B131" s="529"/>
      <c r="C131" s="211" t="s">
        <v>330</v>
      </c>
      <c r="D131" s="349">
        <f>D1796</f>
        <v>0</v>
      </c>
      <c r="E131" s="354">
        <f>E1796</f>
        <v>0</v>
      </c>
      <c r="F131" s="167">
        <f t="shared" si="10"/>
        <v>0</v>
      </c>
    </row>
    <row r="132" spans="1:6" ht="18" hidden="1" customHeight="1">
      <c r="A132" s="206" t="s">
        <v>234</v>
      </c>
      <c r="B132" s="208"/>
      <c r="C132" s="202" t="s">
        <v>235</v>
      </c>
      <c r="D132" s="349"/>
      <c r="E132" s="354"/>
      <c r="F132" s="167">
        <f t="shared" si="10"/>
        <v>0</v>
      </c>
    </row>
    <row r="133" spans="1:6" ht="18" hidden="1" customHeight="1">
      <c r="A133" s="206" t="s">
        <v>236</v>
      </c>
      <c r="B133" s="208"/>
      <c r="C133" s="202" t="s">
        <v>237</v>
      </c>
      <c r="D133" s="349">
        <f>D991</f>
        <v>0</v>
      </c>
      <c r="E133" s="354">
        <f>E991</f>
        <v>0</v>
      </c>
      <c r="F133" s="167">
        <f t="shared" si="10"/>
        <v>0</v>
      </c>
    </row>
    <row r="134" spans="1:6" ht="18" hidden="1" customHeight="1">
      <c r="A134" s="206" t="s">
        <v>43</v>
      </c>
      <c r="B134" s="208"/>
      <c r="C134" s="202" t="s">
        <v>555</v>
      </c>
      <c r="D134" s="349"/>
      <c r="E134" s="354"/>
      <c r="F134" s="167">
        <f t="shared" si="10"/>
        <v>0</v>
      </c>
    </row>
    <row r="135" spans="1:6" ht="18" hidden="1" customHeight="1">
      <c r="A135" s="206"/>
      <c r="B135" s="208" t="s">
        <v>298</v>
      </c>
      <c r="C135" s="202" t="s">
        <v>309</v>
      </c>
      <c r="D135" s="349"/>
      <c r="E135" s="354"/>
      <c r="F135" s="167">
        <f t="shared" si="10"/>
        <v>0</v>
      </c>
    </row>
    <row r="136" spans="1:6" ht="13.5" hidden="1" customHeight="1">
      <c r="A136" s="522" t="s">
        <v>44</v>
      </c>
      <c r="B136" s="529"/>
      <c r="C136" s="202" t="s">
        <v>45</v>
      </c>
      <c r="D136" s="349"/>
      <c r="E136" s="354"/>
      <c r="F136" s="167">
        <f t="shared" si="10"/>
        <v>0</v>
      </c>
    </row>
    <row r="137" spans="1:6" ht="18" customHeight="1">
      <c r="A137" s="522" t="s">
        <v>299</v>
      </c>
      <c r="B137" s="529"/>
      <c r="C137" s="202" t="s">
        <v>289</v>
      </c>
      <c r="D137" s="349">
        <f>D995</f>
        <v>870</v>
      </c>
      <c r="E137" s="354">
        <f>E995</f>
        <v>0</v>
      </c>
      <c r="F137" s="167">
        <f t="shared" si="10"/>
        <v>870</v>
      </c>
    </row>
    <row r="138" spans="1:6" ht="18" hidden="1" customHeight="1">
      <c r="A138" s="352"/>
      <c r="B138" s="401" t="s">
        <v>300</v>
      </c>
      <c r="C138" s="202" t="s">
        <v>290</v>
      </c>
      <c r="D138" s="349"/>
      <c r="E138" s="354"/>
      <c r="F138" s="167">
        <f t="shared" si="10"/>
        <v>0</v>
      </c>
    </row>
    <row r="139" spans="1:6" ht="18" customHeight="1">
      <c r="A139" s="522" t="s">
        <v>342</v>
      </c>
      <c r="B139" s="529"/>
      <c r="C139" s="353" t="s">
        <v>326</v>
      </c>
      <c r="D139" s="349">
        <f>D997</f>
        <v>1320</v>
      </c>
      <c r="E139" s="354">
        <f>E997</f>
        <v>0</v>
      </c>
      <c r="F139" s="167">
        <f t="shared" si="10"/>
        <v>1320</v>
      </c>
    </row>
    <row r="140" spans="1:6" ht="20.25" hidden="1" customHeight="1">
      <c r="A140" s="522" t="s">
        <v>854</v>
      </c>
      <c r="B140" s="529"/>
      <c r="C140" s="353" t="s">
        <v>4</v>
      </c>
      <c r="D140" s="349">
        <f>D1806</f>
        <v>0</v>
      </c>
      <c r="E140" s="354">
        <f>E1806</f>
        <v>0</v>
      </c>
      <c r="F140" s="167">
        <f t="shared" si="10"/>
        <v>0</v>
      </c>
    </row>
    <row r="141" spans="1:6" ht="36.75" customHeight="1">
      <c r="A141" s="522" t="s">
        <v>1028</v>
      </c>
      <c r="B141" s="529"/>
      <c r="C141" s="353" t="s">
        <v>1027</v>
      </c>
      <c r="D141" s="349">
        <f>D998</f>
        <v>11967</v>
      </c>
      <c r="E141" s="354">
        <f>E998</f>
        <v>0</v>
      </c>
      <c r="F141" s="355">
        <f>F998</f>
        <v>11967</v>
      </c>
    </row>
    <row r="142" spans="1:6" ht="35.25" customHeight="1">
      <c r="A142" s="522" t="s">
        <v>663</v>
      </c>
      <c r="B142" s="529"/>
      <c r="C142" s="353" t="s">
        <v>664</v>
      </c>
      <c r="D142" s="349">
        <f t="shared" ref="D142:E145" si="11">D1808</f>
        <v>500</v>
      </c>
      <c r="E142" s="354">
        <f t="shared" si="11"/>
        <v>0</v>
      </c>
      <c r="F142" s="167">
        <f>D142+E142</f>
        <v>500</v>
      </c>
    </row>
    <row r="143" spans="1:6" ht="35.25" customHeight="1">
      <c r="A143" s="522" t="s">
        <v>1038</v>
      </c>
      <c r="B143" s="529"/>
      <c r="C143" s="353" t="s">
        <v>1037</v>
      </c>
      <c r="D143" s="349">
        <f t="shared" si="11"/>
        <v>15000</v>
      </c>
      <c r="E143" s="354">
        <f t="shared" si="11"/>
        <v>5000</v>
      </c>
      <c r="F143" s="355">
        <f>F1809</f>
        <v>20000</v>
      </c>
    </row>
    <row r="144" spans="1:6" ht="35.25" customHeight="1">
      <c r="A144" s="518" t="s">
        <v>1003</v>
      </c>
      <c r="B144" s="529"/>
      <c r="C144" s="393" t="s">
        <v>1004</v>
      </c>
      <c r="D144" s="349">
        <f t="shared" si="11"/>
        <v>128230</v>
      </c>
      <c r="E144" s="354">
        <f t="shared" si="11"/>
        <v>0</v>
      </c>
      <c r="F144" s="355">
        <f>F1810</f>
        <v>128230</v>
      </c>
    </row>
    <row r="145" spans="1:6" ht="35.25" customHeight="1">
      <c r="A145" s="518" t="s">
        <v>1012</v>
      </c>
      <c r="B145" s="529"/>
      <c r="C145" s="393" t="s">
        <v>1011</v>
      </c>
      <c r="D145" s="349">
        <f t="shared" si="11"/>
        <v>241479</v>
      </c>
      <c r="E145" s="354">
        <f t="shared" si="11"/>
        <v>0</v>
      </c>
      <c r="F145" s="355">
        <f>F1811</f>
        <v>241479</v>
      </c>
    </row>
    <row r="146" spans="1:6" ht="51.75" customHeight="1">
      <c r="A146" s="518" t="s">
        <v>1074</v>
      </c>
      <c r="B146" s="519"/>
      <c r="C146" s="393" t="s">
        <v>1072</v>
      </c>
      <c r="D146" s="349">
        <f>D1812</f>
        <v>4000</v>
      </c>
      <c r="E146" s="354">
        <f t="shared" ref="E146:F146" si="12">E1812</f>
        <v>0</v>
      </c>
      <c r="F146" s="355">
        <f t="shared" si="12"/>
        <v>4000</v>
      </c>
    </row>
    <row r="147" spans="1:6" ht="18" customHeight="1">
      <c r="A147" s="206" t="s">
        <v>46</v>
      </c>
      <c r="B147" s="205"/>
      <c r="C147" s="202" t="s">
        <v>556</v>
      </c>
      <c r="D147" s="349">
        <f>SUM(D148:D155)</f>
        <v>34653</v>
      </c>
      <c r="E147" s="354">
        <f>SUM(E148:E153)</f>
        <v>0</v>
      </c>
      <c r="F147" s="167">
        <f>D147+E147</f>
        <v>34653</v>
      </c>
    </row>
    <row r="148" spans="1:6" ht="18" hidden="1" customHeight="1">
      <c r="A148" s="206" t="s">
        <v>855</v>
      </c>
      <c r="B148" s="208"/>
      <c r="C148" s="202" t="s">
        <v>856</v>
      </c>
      <c r="D148" s="349"/>
      <c r="E148" s="354"/>
      <c r="F148" s="167">
        <f>D148+E148</f>
        <v>0</v>
      </c>
    </row>
    <row r="149" spans="1:6" ht="18" hidden="1" customHeight="1">
      <c r="A149" s="524" t="s">
        <v>557</v>
      </c>
      <c r="B149" s="529"/>
      <c r="C149" s="202" t="s">
        <v>558</v>
      </c>
      <c r="D149" s="349"/>
      <c r="E149" s="354"/>
      <c r="F149" s="167">
        <f>D149+E149</f>
        <v>0</v>
      </c>
    </row>
    <row r="150" spans="1:6" ht="18" hidden="1" customHeight="1">
      <c r="A150" s="549" t="s">
        <v>1025</v>
      </c>
      <c r="B150" s="529"/>
      <c r="C150" s="202" t="s">
        <v>1024</v>
      </c>
      <c r="D150" s="485">
        <f>D1003</f>
        <v>0</v>
      </c>
      <c r="E150" s="335">
        <f>E1003</f>
        <v>0</v>
      </c>
      <c r="F150" s="356">
        <f>F1003</f>
        <v>0</v>
      </c>
    </row>
    <row r="151" spans="1:6" s="169" customFormat="1" ht="18" hidden="1" customHeight="1">
      <c r="A151" s="524" t="s">
        <v>1001</v>
      </c>
      <c r="B151" s="529"/>
      <c r="C151" s="202" t="s">
        <v>1000</v>
      </c>
      <c r="D151" s="349">
        <f>D1817</f>
        <v>0</v>
      </c>
      <c r="E151" s="354">
        <f>E1817</f>
        <v>0</v>
      </c>
      <c r="F151" s="357">
        <f>F1817</f>
        <v>0</v>
      </c>
    </row>
    <row r="152" spans="1:6" ht="36" customHeight="1">
      <c r="A152" s="549" t="s">
        <v>990</v>
      </c>
      <c r="B152" s="529"/>
      <c r="C152" s="202" t="s">
        <v>991</v>
      </c>
      <c r="D152" s="349">
        <f>D1818</f>
        <v>4990</v>
      </c>
      <c r="E152" s="354">
        <f>E1818</f>
        <v>0</v>
      </c>
      <c r="F152" s="167">
        <f>D152+E152</f>
        <v>4990</v>
      </c>
    </row>
    <row r="153" spans="1:6" ht="33.75" hidden="1" customHeight="1">
      <c r="A153" s="524" t="s">
        <v>858</v>
      </c>
      <c r="B153" s="529"/>
      <c r="C153" s="202" t="s">
        <v>654</v>
      </c>
      <c r="D153" s="349">
        <f>D1005</f>
        <v>0</v>
      </c>
      <c r="E153" s="354">
        <f>E1005</f>
        <v>0</v>
      </c>
      <c r="F153" s="167">
        <f t="shared" ref="F153:F158" si="13">D153+E153</f>
        <v>0</v>
      </c>
    </row>
    <row r="154" spans="1:6" ht="33.75" customHeight="1">
      <c r="A154" s="543" t="s">
        <v>1062</v>
      </c>
      <c r="B154" s="529"/>
      <c r="C154" s="393" t="s">
        <v>1054</v>
      </c>
      <c r="D154" s="349">
        <f>D1819</f>
        <v>2474</v>
      </c>
      <c r="E154" s="354">
        <f>E1819</f>
        <v>0</v>
      </c>
      <c r="F154" s="167">
        <f t="shared" si="13"/>
        <v>2474</v>
      </c>
    </row>
    <row r="155" spans="1:6" ht="33.75" customHeight="1">
      <c r="A155" s="543" t="s">
        <v>1063</v>
      </c>
      <c r="B155" s="529"/>
      <c r="C155" s="393" t="s">
        <v>1055</v>
      </c>
      <c r="D155" s="349">
        <f>D1820</f>
        <v>27189</v>
      </c>
      <c r="E155" s="354">
        <f>E1820</f>
        <v>0</v>
      </c>
      <c r="F155" s="167">
        <f t="shared" si="13"/>
        <v>27189</v>
      </c>
    </row>
    <row r="156" spans="1:6" ht="33.75" customHeight="1">
      <c r="A156" s="543" t="s">
        <v>1059</v>
      </c>
      <c r="B156" s="529"/>
      <c r="C156" s="393" t="s">
        <v>1056</v>
      </c>
      <c r="D156" s="349">
        <f>SUM(D157:D158)</f>
        <v>157545</v>
      </c>
      <c r="E156" s="354">
        <f>SUM(E157:E158)</f>
        <v>62000</v>
      </c>
      <c r="F156" s="167">
        <f t="shared" si="13"/>
        <v>219545</v>
      </c>
    </row>
    <row r="157" spans="1:6" ht="33.75" customHeight="1">
      <c r="A157" s="543" t="s">
        <v>1060</v>
      </c>
      <c r="B157" s="529"/>
      <c r="C157" s="393" t="s">
        <v>1057</v>
      </c>
      <c r="D157" s="349">
        <f>D1822</f>
        <v>139068</v>
      </c>
      <c r="E157" s="354">
        <f>E1822</f>
        <v>62000</v>
      </c>
      <c r="F157" s="167">
        <f t="shared" si="13"/>
        <v>201068</v>
      </c>
    </row>
    <row r="158" spans="1:6" ht="33.75" customHeight="1">
      <c r="A158" s="543" t="s">
        <v>1061</v>
      </c>
      <c r="B158" s="529"/>
      <c r="C158" s="393" t="s">
        <v>1058</v>
      </c>
      <c r="D158" s="349">
        <f>D1823</f>
        <v>18477</v>
      </c>
      <c r="E158" s="354">
        <f>E1823</f>
        <v>0</v>
      </c>
      <c r="F158" s="167">
        <f t="shared" si="13"/>
        <v>18477</v>
      </c>
    </row>
    <row r="159" spans="1:6" s="142" customFormat="1" ht="39.75" customHeight="1">
      <c r="A159" s="524" t="s">
        <v>859</v>
      </c>
      <c r="B159" s="529"/>
      <c r="C159" s="202" t="s">
        <v>477</v>
      </c>
      <c r="D159" s="350">
        <f>SUM(D160:D167)</f>
        <v>500</v>
      </c>
      <c r="E159" s="409">
        <f>SUM(E160:E167)</f>
        <v>0</v>
      </c>
      <c r="F159" s="167">
        <f t="shared" ref="F159:F192" si="14">D159+E159</f>
        <v>500</v>
      </c>
    </row>
    <row r="160" spans="1:6" ht="20.25" customHeight="1">
      <c r="A160" s="398"/>
      <c r="B160" s="479" t="s">
        <v>860</v>
      </c>
      <c r="C160" s="202" t="s">
        <v>656</v>
      </c>
      <c r="D160" s="350">
        <f t="shared" ref="D160:D166" si="15">D1828</f>
        <v>500</v>
      </c>
      <c r="E160" s="409">
        <f t="shared" ref="E160:E167" si="16">E1828</f>
        <v>0</v>
      </c>
      <c r="F160" s="167">
        <f t="shared" si="14"/>
        <v>500</v>
      </c>
    </row>
    <row r="161" spans="1:7" ht="20.25" hidden="1">
      <c r="A161" s="469"/>
      <c r="B161" s="470" t="s">
        <v>327</v>
      </c>
      <c r="C161" s="202" t="s">
        <v>665</v>
      </c>
      <c r="D161" s="350">
        <f t="shared" si="15"/>
        <v>0</v>
      </c>
      <c r="E161" s="409">
        <f t="shared" si="16"/>
        <v>0</v>
      </c>
      <c r="F161" s="167">
        <f t="shared" si="14"/>
        <v>0</v>
      </c>
    </row>
    <row r="162" spans="1:7" ht="20.25" hidden="1" customHeight="1">
      <c r="A162" s="469"/>
      <c r="B162" s="470" t="s">
        <v>652</v>
      </c>
      <c r="C162" s="202" t="s">
        <v>861</v>
      </c>
      <c r="D162" s="350">
        <f t="shared" si="15"/>
        <v>0</v>
      </c>
      <c r="E162" s="409">
        <f t="shared" si="16"/>
        <v>0</v>
      </c>
      <c r="F162" s="167">
        <f t="shared" si="14"/>
        <v>0</v>
      </c>
    </row>
    <row r="163" spans="1:7" ht="20.25" hidden="1" customHeight="1">
      <c r="A163" s="469"/>
      <c r="B163" s="470" t="s">
        <v>344</v>
      </c>
      <c r="C163" s="202" t="s">
        <v>862</v>
      </c>
      <c r="D163" s="350">
        <f t="shared" si="15"/>
        <v>0</v>
      </c>
      <c r="E163" s="409">
        <f t="shared" si="16"/>
        <v>0</v>
      </c>
      <c r="F163" s="167">
        <f t="shared" si="14"/>
        <v>0</v>
      </c>
    </row>
    <row r="164" spans="1:7" ht="20.25" hidden="1" customHeight="1">
      <c r="A164" s="469"/>
      <c r="B164" s="256" t="s">
        <v>973</v>
      </c>
      <c r="C164" s="202" t="s">
        <v>971</v>
      </c>
      <c r="D164" s="350">
        <f t="shared" si="15"/>
        <v>0</v>
      </c>
      <c r="E164" s="409">
        <f t="shared" si="16"/>
        <v>0</v>
      </c>
      <c r="F164" s="167">
        <f t="shared" si="14"/>
        <v>0</v>
      </c>
    </row>
    <row r="165" spans="1:7" ht="18" hidden="1" customHeight="1">
      <c r="A165" s="479"/>
      <c r="B165" s="402" t="s">
        <v>972</v>
      </c>
      <c r="C165" s="202" t="s">
        <v>911</v>
      </c>
      <c r="D165" s="350">
        <f t="shared" si="15"/>
        <v>0</v>
      </c>
      <c r="E165" s="409">
        <f t="shared" si="16"/>
        <v>0</v>
      </c>
      <c r="F165" s="167">
        <f t="shared" si="14"/>
        <v>0</v>
      </c>
    </row>
    <row r="166" spans="1:7" ht="18" hidden="1" customHeight="1">
      <c r="A166" s="461"/>
      <c r="B166" s="403" t="s">
        <v>863</v>
      </c>
      <c r="C166" s="202" t="s">
        <v>820</v>
      </c>
      <c r="D166" s="350">
        <f t="shared" si="15"/>
        <v>0</v>
      </c>
      <c r="E166" s="409">
        <f t="shared" si="16"/>
        <v>0</v>
      </c>
      <c r="F166" s="167">
        <f t="shared" si="14"/>
        <v>0</v>
      </c>
    </row>
    <row r="167" spans="1:7" ht="18" hidden="1" customHeight="1">
      <c r="A167" s="461"/>
      <c r="B167" s="470" t="s">
        <v>252</v>
      </c>
      <c r="C167" s="202" t="s">
        <v>864</v>
      </c>
      <c r="D167" s="350">
        <f>D1835</f>
        <v>0</v>
      </c>
      <c r="E167" s="409">
        <f t="shared" si="16"/>
        <v>0</v>
      </c>
      <c r="F167" s="167">
        <f t="shared" si="14"/>
        <v>0</v>
      </c>
    </row>
    <row r="168" spans="1:7" ht="18" hidden="1" customHeight="1" thickBot="1">
      <c r="A168" s="358"/>
      <c r="B168" s="404"/>
      <c r="C168" s="359"/>
      <c r="D168" s="360"/>
      <c r="E168" s="412"/>
      <c r="F168" s="167">
        <f t="shared" si="14"/>
        <v>0</v>
      </c>
    </row>
    <row r="169" spans="1:7" ht="21" thickBot="1">
      <c r="A169" s="361"/>
      <c r="B169" s="362" t="s">
        <v>47</v>
      </c>
      <c r="C169" s="363" t="s">
        <v>48</v>
      </c>
      <c r="D169" s="487">
        <f>D250+D292+D329+D338+D366+D394+D451+D487+D536+D585+D639+D682+D713+D742+D771+D847</f>
        <v>1129890.06</v>
      </c>
      <c r="E169" s="413">
        <f>E250+E292+E329+E338+E366+E394+E451+E487+E536+E585+E639+E682+E713+E742+E771+E847</f>
        <v>67000</v>
      </c>
      <c r="F169" s="364">
        <f t="shared" si="14"/>
        <v>1196890.06</v>
      </c>
    </row>
    <row r="170" spans="1:7" ht="18" hidden="1" customHeight="1">
      <c r="A170" s="559" t="s">
        <v>99</v>
      </c>
      <c r="B170" s="560"/>
      <c r="C170" s="365" t="s">
        <v>49</v>
      </c>
      <c r="D170" s="485">
        <f>D251+D293+D330+D339+D367+D395+D452+D488+D537+D586+D640+D683+D743+D772+D848</f>
        <v>475142.53</v>
      </c>
      <c r="E170" s="335">
        <f>E251+E293+E330+E339+E367+E395+E452+E488+E537+E586+E640+E683+E743+E772+E848</f>
        <v>62000</v>
      </c>
      <c r="F170" s="167">
        <f t="shared" si="14"/>
        <v>537142.53</v>
      </c>
      <c r="G170" s="531" t="s">
        <v>989</v>
      </c>
    </row>
    <row r="171" spans="1:7" ht="18" hidden="1" customHeight="1">
      <c r="A171" s="526" t="s">
        <v>872</v>
      </c>
      <c r="B171" s="529"/>
      <c r="C171" s="203">
        <v>10</v>
      </c>
      <c r="D171" s="350">
        <f>D252+D294+D368+D396+D453+D538+D641</f>
        <v>127499.29000000001</v>
      </c>
      <c r="E171" s="409">
        <f>E252+E294+E368+E396+E453+E538+E641</f>
        <v>0</v>
      </c>
      <c r="F171" s="167">
        <f t="shared" si="14"/>
        <v>127499.29000000001</v>
      </c>
      <c r="G171" s="532"/>
    </row>
    <row r="172" spans="1:7" ht="18" hidden="1" customHeight="1">
      <c r="A172" s="538" t="s">
        <v>873</v>
      </c>
      <c r="B172" s="529"/>
      <c r="C172" s="202">
        <v>20</v>
      </c>
      <c r="D172" s="350">
        <f>D253+D295+D331+D369+D397+D454+D490+D539+D588+D642+D774+D850+D685+D745</f>
        <v>140302.71000000002</v>
      </c>
      <c r="E172" s="409">
        <f>E253+E295+E331+E369+E397+E454+E490+E539+E588+E642+E774+E850+E685+E745</f>
        <v>0</v>
      </c>
      <c r="F172" s="167">
        <f t="shared" si="14"/>
        <v>140302.71000000002</v>
      </c>
      <c r="G172" s="532"/>
    </row>
    <row r="173" spans="1:7" ht="18" hidden="1" customHeight="1">
      <c r="A173" s="530" t="s">
        <v>240</v>
      </c>
      <c r="B173" s="529"/>
      <c r="C173" s="202" t="s">
        <v>241</v>
      </c>
      <c r="D173" s="350"/>
      <c r="E173" s="409"/>
      <c r="F173" s="167">
        <f t="shared" si="14"/>
        <v>0</v>
      </c>
      <c r="G173" s="532"/>
    </row>
    <row r="174" spans="1:7" ht="18" hidden="1" customHeight="1">
      <c r="A174" s="215"/>
      <c r="B174" s="460" t="s">
        <v>739</v>
      </c>
      <c r="C174" s="202">
        <v>30</v>
      </c>
      <c r="D174" s="350">
        <f>D333</f>
        <v>12068</v>
      </c>
      <c r="E174" s="409">
        <f>E333</f>
        <v>0</v>
      </c>
      <c r="F174" s="167">
        <f t="shared" si="14"/>
        <v>12068</v>
      </c>
      <c r="G174" s="532"/>
    </row>
    <row r="175" spans="1:7" ht="18" hidden="1" customHeight="1">
      <c r="A175" s="524" t="s">
        <v>50</v>
      </c>
      <c r="B175" s="529"/>
      <c r="C175" s="207" t="s">
        <v>51</v>
      </c>
      <c r="D175" s="350">
        <f>D334</f>
        <v>12068</v>
      </c>
      <c r="E175" s="409">
        <f>E334</f>
        <v>0</v>
      </c>
      <c r="F175" s="167">
        <f t="shared" si="14"/>
        <v>12068</v>
      </c>
      <c r="G175" s="532"/>
    </row>
    <row r="176" spans="1:7" ht="18" hidden="1" customHeight="1">
      <c r="A176" s="524" t="s">
        <v>242</v>
      </c>
      <c r="B176" s="529"/>
      <c r="C176" s="203" t="s">
        <v>513</v>
      </c>
      <c r="D176" s="350"/>
      <c r="E176" s="409"/>
      <c r="F176" s="167">
        <f t="shared" si="14"/>
        <v>0</v>
      </c>
      <c r="G176" s="532"/>
    </row>
    <row r="177" spans="1:7" ht="18" hidden="1" customHeight="1">
      <c r="A177" s="216" t="s">
        <v>243</v>
      </c>
      <c r="B177" s="217"/>
      <c r="C177" s="203" t="s">
        <v>244</v>
      </c>
      <c r="D177" s="350"/>
      <c r="E177" s="409"/>
      <c r="F177" s="167">
        <f t="shared" si="14"/>
        <v>0</v>
      </c>
      <c r="G177" s="532"/>
    </row>
    <row r="178" spans="1:7" ht="18" hidden="1" customHeight="1">
      <c r="A178" s="215"/>
      <c r="B178" s="218" t="s">
        <v>874</v>
      </c>
      <c r="C178" s="203" t="s">
        <v>52</v>
      </c>
      <c r="D178" s="350">
        <f>D717+D775</f>
        <v>14294.83</v>
      </c>
      <c r="E178" s="409">
        <f>E717+E775</f>
        <v>0</v>
      </c>
      <c r="F178" s="167">
        <f t="shared" si="14"/>
        <v>14294.83</v>
      </c>
      <c r="G178" s="532"/>
    </row>
    <row r="179" spans="1:7" ht="18" hidden="1" customHeight="1">
      <c r="A179" s="219" t="s">
        <v>53</v>
      </c>
      <c r="B179" s="205"/>
      <c r="C179" s="203" t="s">
        <v>626</v>
      </c>
      <c r="D179" s="350">
        <f>D718+D776</f>
        <v>14294.83</v>
      </c>
      <c r="E179" s="409">
        <f>E718+E776</f>
        <v>0</v>
      </c>
      <c r="F179" s="167">
        <f t="shared" si="14"/>
        <v>14294.83</v>
      </c>
      <c r="G179" s="532"/>
    </row>
    <row r="180" spans="1:7" ht="18" hidden="1" customHeight="1">
      <c r="A180" s="215"/>
      <c r="B180" s="205" t="s">
        <v>875</v>
      </c>
      <c r="C180" s="202">
        <v>50</v>
      </c>
      <c r="D180" s="350">
        <f>D296</f>
        <v>0</v>
      </c>
      <c r="E180" s="409">
        <f>E296</f>
        <v>0</v>
      </c>
      <c r="F180" s="167">
        <f t="shared" si="14"/>
        <v>0</v>
      </c>
      <c r="G180" s="532"/>
    </row>
    <row r="181" spans="1:7" ht="18" hidden="1" customHeight="1">
      <c r="A181" s="219" t="s">
        <v>246</v>
      </c>
      <c r="B181" s="218"/>
      <c r="C181" s="203" t="s">
        <v>247</v>
      </c>
      <c r="D181" s="350">
        <f>D297</f>
        <v>0</v>
      </c>
      <c r="E181" s="409">
        <f>E297</f>
        <v>0</v>
      </c>
      <c r="F181" s="167">
        <f t="shared" si="14"/>
        <v>0</v>
      </c>
      <c r="G181" s="532"/>
    </row>
    <row r="182" spans="1:7" ht="18" hidden="1" customHeight="1">
      <c r="A182" s="526" t="s">
        <v>301</v>
      </c>
      <c r="B182" s="529"/>
      <c r="C182" s="203" t="s">
        <v>592</v>
      </c>
      <c r="D182" s="350">
        <f>D298+D340+D398+D455+D491+D589+D777</f>
        <v>69433</v>
      </c>
      <c r="E182" s="409">
        <f>E298+E340+E398+E455+E491+E589+E777</f>
        <v>-155</v>
      </c>
      <c r="F182" s="167">
        <f t="shared" si="14"/>
        <v>69278</v>
      </c>
      <c r="G182" s="532"/>
    </row>
    <row r="183" spans="1:7" ht="18" hidden="1" customHeight="1">
      <c r="A183" s="219" t="s">
        <v>55</v>
      </c>
      <c r="B183" s="220"/>
      <c r="C183" s="202" t="s">
        <v>56</v>
      </c>
      <c r="D183" s="350">
        <f>D299+D341+D399+D456+D492+D590</f>
        <v>58539</v>
      </c>
      <c r="E183" s="409">
        <f>E299+E341+E399+E456+E492+E590</f>
        <v>-155</v>
      </c>
      <c r="F183" s="167">
        <f t="shared" si="14"/>
        <v>58384</v>
      </c>
      <c r="G183" s="532"/>
    </row>
    <row r="184" spans="1:7" ht="18" hidden="1" customHeight="1">
      <c r="A184" s="221"/>
      <c r="B184" s="218" t="s">
        <v>57</v>
      </c>
      <c r="C184" s="202" t="s">
        <v>58</v>
      </c>
      <c r="D184" s="350">
        <f>D300+D493+D591</f>
        <v>56539</v>
      </c>
      <c r="E184" s="409">
        <f>E300+E493+E591</f>
        <v>-155</v>
      </c>
      <c r="F184" s="167">
        <f t="shared" si="14"/>
        <v>56384</v>
      </c>
      <c r="G184" s="532"/>
    </row>
    <row r="185" spans="1:7" ht="18" hidden="1" customHeight="1">
      <c r="A185" s="221"/>
      <c r="B185" s="220" t="s">
        <v>59</v>
      </c>
      <c r="C185" s="202" t="s">
        <v>60</v>
      </c>
      <c r="D185" s="350">
        <f>D457</f>
        <v>2000</v>
      </c>
      <c r="E185" s="409">
        <f>E457</f>
        <v>0</v>
      </c>
      <c r="F185" s="167">
        <f t="shared" si="14"/>
        <v>2000</v>
      </c>
      <c r="G185" s="532"/>
    </row>
    <row r="186" spans="1:7" ht="36" hidden="1" customHeight="1">
      <c r="A186" s="221"/>
      <c r="B186" s="220" t="s">
        <v>248</v>
      </c>
      <c r="C186" s="202" t="s">
        <v>249</v>
      </c>
      <c r="D186" s="350"/>
      <c r="E186" s="409"/>
      <c r="F186" s="167">
        <f t="shared" si="14"/>
        <v>0</v>
      </c>
      <c r="G186" s="532"/>
    </row>
    <row r="187" spans="1:7" ht="36" hidden="1" customHeight="1">
      <c r="A187" s="221"/>
      <c r="B187" s="220" t="s">
        <v>250</v>
      </c>
      <c r="C187" s="202" t="s">
        <v>251</v>
      </c>
      <c r="D187" s="350"/>
      <c r="E187" s="409"/>
      <c r="F187" s="167">
        <f t="shared" si="14"/>
        <v>0</v>
      </c>
      <c r="G187" s="532"/>
    </row>
    <row r="188" spans="1:7" ht="54" hidden="1" customHeight="1">
      <c r="A188" s="221"/>
      <c r="B188" s="220" t="s">
        <v>253</v>
      </c>
      <c r="C188" s="202" t="s">
        <v>254</v>
      </c>
      <c r="D188" s="350"/>
      <c r="E188" s="409"/>
      <c r="F188" s="167">
        <f t="shared" si="14"/>
        <v>0</v>
      </c>
      <c r="G188" s="532"/>
    </row>
    <row r="189" spans="1:7" ht="36" hidden="1" customHeight="1">
      <c r="A189" s="221"/>
      <c r="B189" s="475" t="s">
        <v>61</v>
      </c>
      <c r="C189" s="202" t="s">
        <v>62</v>
      </c>
      <c r="D189" s="350"/>
      <c r="E189" s="409"/>
      <c r="F189" s="167">
        <f t="shared" si="14"/>
        <v>0</v>
      </c>
      <c r="G189" s="532"/>
    </row>
    <row r="190" spans="1:7" ht="18" hidden="1" customHeight="1">
      <c r="A190" s="219" t="s">
        <v>63</v>
      </c>
      <c r="B190" s="460"/>
      <c r="C190" s="202" t="s">
        <v>560</v>
      </c>
      <c r="D190" s="350">
        <f>D458+D494+D592+D778</f>
        <v>10894</v>
      </c>
      <c r="E190" s="409">
        <f>E458+E494+E592+E778</f>
        <v>0</v>
      </c>
      <c r="F190" s="167">
        <f t="shared" si="14"/>
        <v>10894</v>
      </c>
      <c r="G190" s="532"/>
    </row>
    <row r="191" spans="1:7" ht="18" hidden="1" customHeight="1">
      <c r="A191" s="221"/>
      <c r="B191" s="220" t="s">
        <v>64</v>
      </c>
      <c r="C191" s="202" t="s">
        <v>65</v>
      </c>
      <c r="D191" s="350">
        <f>D459</f>
        <v>7655</v>
      </c>
      <c r="E191" s="409">
        <f>E459</f>
        <v>0</v>
      </c>
      <c r="F191" s="167">
        <f t="shared" si="14"/>
        <v>7655</v>
      </c>
      <c r="G191" s="532"/>
    </row>
    <row r="192" spans="1:7" ht="18" hidden="1" customHeight="1">
      <c r="A192" s="221"/>
      <c r="B192" s="222" t="s">
        <v>876</v>
      </c>
      <c r="C192" s="202" t="s">
        <v>655</v>
      </c>
      <c r="D192" s="350">
        <f>D495+D593</f>
        <v>1869</v>
      </c>
      <c r="E192" s="409">
        <f>E495+E593</f>
        <v>0</v>
      </c>
      <c r="F192" s="167">
        <f t="shared" si="14"/>
        <v>1869</v>
      </c>
      <c r="G192" s="532"/>
    </row>
    <row r="193" spans="1:7" ht="18" hidden="1" customHeight="1">
      <c r="A193" s="221"/>
      <c r="B193" s="222" t="s">
        <v>1022</v>
      </c>
      <c r="C193" s="202" t="s">
        <v>1021</v>
      </c>
      <c r="D193" s="350">
        <f>D779</f>
        <v>1370</v>
      </c>
      <c r="E193" s="409">
        <f>E779</f>
        <v>0</v>
      </c>
      <c r="F193" s="210">
        <f>F779</f>
        <v>1370</v>
      </c>
      <c r="G193" s="532"/>
    </row>
    <row r="194" spans="1:7" ht="18" hidden="1" customHeight="1">
      <c r="A194" s="215"/>
      <c r="B194" s="460"/>
      <c r="C194" s="203">
        <v>55</v>
      </c>
      <c r="D194" s="350">
        <f>D263+D370+D401+D543+D594+D686+D780+D856++D460+D646</f>
        <v>23411.200000000001</v>
      </c>
      <c r="E194" s="350">
        <f>E263+E370+E401+E543+E594+E686+E780+E856++E460+E646</f>
        <v>0</v>
      </c>
      <c r="F194" s="167">
        <f t="shared" ref="F194:F223" si="17">D194+E194</f>
        <v>23411.200000000001</v>
      </c>
      <c r="G194" s="532"/>
    </row>
    <row r="195" spans="1:7" ht="18" hidden="1" customHeight="1">
      <c r="A195" s="219" t="s">
        <v>66</v>
      </c>
      <c r="B195" s="460"/>
      <c r="C195" s="202" t="s">
        <v>67</v>
      </c>
      <c r="D195" s="350">
        <f>D264+D371+D402+D544+D595+D687+D781+D857+D647</f>
        <v>23411.200000000001</v>
      </c>
      <c r="E195" s="350">
        <f>E264+E371+E402+E544+E595+E687+E781+E857+E647</f>
        <v>0</v>
      </c>
      <c r="F195" s="167">
        <f t="shared" si="17"/>
        <v>23411.200000000001</v>
      </c>
      <c r="G195" s="532"/>
    </row>
    <row r="196" spans="1:7" ht="18" hidden="1" customHeight="1">
      <c r="A196" s="219"/>
      <c r="B196" s="220" t="s">
        <v>255</v>
      </c>
      <c r="C196" s="202" t="s">
        <v>256</v>
      </c>
      <c r="D196" s="350"/>
      <c r="E196" s="409"/>
      <c r="F196" s="167">
        <f t="shared" si="17"/>
        <v>0</v>
      </c>
      <c r="G196" s="532"/>
    </row>
    <row r="197" spans="1:7" ht="36" hidden="1" customHeight="1">
      <c r="A197" s="219"/>
      <c r="B197" s="220" t="s">
        <v>257</v>
      </c>
      <c r="C197" s="202" t="s">
        <v>258</v>
      </c>
      <c r="D197" s="350">
        <f>D547+D689+D2291</f>
        <v>350</v>
      </c>
      <c r="E197" s="350">
        <f>E547+E689+E2291</f>
        <v>0</v>
      </c>
      <c r="F197" s="167">
        <f t="shared" si="17"/>
        <v>350</v>
      </c>
      <c r="G197" s="532"/>
    </row>
    <row r="198" spans="1:7" ht="18" hidden="1" customHeight="1">
      <c r="A198" s="219"/>
      <c r="B198" s="475" t="s">
        <v>346</v>
      </c>
      <c r="C198" s="202" t="s">
        <v>325</v>
      </c>
      <c r="D198" s="350">
        <f>D596+D649+D724</f>
        <v>145.76</v>
      </c>
      <c r="E198" s="350">
        <f>E596+E649+E724</f>
        <v>0</v>
      </c>
      <c r="F198" s="167">
        <f t="shared" si="17"/>
        <v>145.76</v>
      </c>
      <c r="G198" s="532"/>
    </row>
    <row r="199" spans="1:7" ht="36" hidden="1" customHeight="1">
      <c r="A199" s="219"/>
      <c r="B199" s="475" t="s">
        <v>68</v>
      </c>
      <c r="C199" s="202" t="s">
        <v>622</v>
      </c>
      <c r="D199" s="350">
        <f>D597+D782</f>
        <v>0</v>
      </c>
      <c r="E199" s="409">
        <f>E597+E782</f>
        <v>0</v>
      </c>
      <c r="F199" s="167">
        <f t="shared" si="17"/>
        <v>0</v>
      </c>
      <c r="G199" s="532"/>
    </row>
    <row r="200" spans="1:7" ht="18" hidden="1" customHeight="1">
      <c r="A200" s="223"/>
      <c r="B200" s="220" t="s">
        <v>259</v>
      </c>
      <c r="C200" s="202" t="s">
        <v>260</v>
      </c>
      <c r="D200" s="350"/>
      <c r="E200" s="409"/>
      <c r="F200" s="167">
        <f t="shared" si="17"/>
        <v>0</v>
      </c>
      <c r="G200" s="532"/>
    </row>
    <row r="201" spans="1:7" ht="18" hidden="1" customHeight="1">
      <c r="A201" s="223"/>
      <c r="B201" s="220" t="s">
        <v>261</v>
      </c>
      <c r="C201" s="202" t="s">
        <v>262</v>
      </c>
      <c r="D201" s="350"/>
      <c r="E201" s="409"/>
      <c r="F201" s="167">
        <f t="shared" si="17"/>
        <v>0</v>
      </c>
      <c r="G201" s="532"/>
    </row>
    <row r="202" spans="1:7" ht="18" hidden="1" customHeight="1">
      <c r="A202" s="223"/>
      <c r="B202" s="218" t="s">
        <v>624</v>
      </c>
      <c r="C202" s="202" t="s">
        <v>625</v>
      </c>
      <c r="D202" s="350">
        <f>D265+D372+D403+D598++D690+D858</f>
        <v>0</v>
      </c>
      <c r="E202" s="409">
        <f>E265+E372+E403+E598++E690+E858</f>
        <v>0</v>
      </c>
      <c r="F202" s="167">
        <f t="shared" si="17"/>
        <v>0</v>
      </c>
      <c r="G202" s="532"/>
    </row>
    <row r="203" spans="1:7" ht="18" hidden="1" customHeight="1">
      <c r="A203" s="223"/>
      <c r="B203" s="218" t="s">
        <v>347</v>
      </c>
      <c r="C203" s="202" t="s">
        <v>329</v>
      </c>
      <c r="D203" s="350">
        <f>D268+D600+D649+D783</f>
        <v>916.2</v>
      </c>
      <c r="E203" s="350">
        <f>E268+E600+E649+E783</f>
        <v>0</v>
      </c>
      <c r="F203" s="167">
        <f t="shared" si="17"/>
        <v>916.2</v>
      </c>
      <c r="G203" s="532"/>
    </row>
    <row r="204" spans="1:7" ht="18" hidden="1" customHeight="1">
      <c r="A204" s="223"/>
      <c r="B204" s="222" t="s">
        <v>877</v>
      </c>
      <c r="C204" s="202" t="s">
        <v>878</v>
      </c>
      <c r="D204" s="350">
        <f>D404</f>
        <v>11657</v>
      </c>
      <c r="E204" s="409">
        <f>E404</f>
        <v>0</v>
      </c>
      <c r="F204" s="167">
        <f t="shared" si="17"/>
        <v>11657</v>
      </c>
      <c r="G204" s="532"/>
    </row>
    <row r="205" spans="1:7" ht="18" hidden="1" customHeight="1">
      <c r="A205" s="223"/>
      <c r="B205" s="220" t="s">
        <v>879</v>
      </c>
      <c r="C205" s="224" t="s">
        <v>662</v>
      </c>
      <c r="D205" s="350">
        <f>D599</f>
        <v>10488</v>
      </c>
      <c r="E205" s="409">
        <f>E599</f>
        <v>0</v>
      </c>
      <c r="F205" s="167">
        <f t="shared" si="17"/>
        <v>10488</v>
      </c>
      <c r="G205" s="532"/>
    </row>
    <row r="206" spans="1:7" ht="36" hidden="1" customHeight="1">
      <c r="A206" s="223"/>
      <c r="B206" s="222" t="s">
        <v>321</v>
      </c>
      <c r="C206" s="202">
        <v>56</v>
      </c>
      <c r="D206" s="350">
        <f>D373+D405+D463+D548+D603+D784+D499</f>
        <v>158545</v>
      </c>
      <c r="E206" s="350">
        <f t="shared" ref="E206:F206" si="18">E373+E405+E463+E548+E603+E784+E499</f>
        <v>62000</v>
      </c>
      <c r="F206" s="350">
        <f t="shared" si="18"/>
        <v>220545</v>
      </c>
      <c r="G206" s="532"/>
    </row>
    <row r="207" spans="1:7" ht="18" hidden="1" customHeight="1">
      <c r="A207" s="215"/>
      <c r="B207" s="220" t="s">
        <v>880</v>
      </c>
      <c r="C207" s="203">
        <v>57</v>
      </c>
      <c r="D207" s="350">
        <f t="shared" ref="D207:E210" si="19">D409+D464+D551</f>
        <v>43019</v>
      </c>
      <c r="E207" s="409">
        <f t="shared" si="19"/>
        <v>0</v>
      </c>
      <c r="F207" s="167">
        <f t="shared" si="17"/>
        <v>43019</v>
      </c>
      <c r="G207" s="532"/>
    </row>
    <row r="208" spans="1:7" ht="18" hidden="1" customHeight="1">
      <c r="A208" s="225" t="s">
        <v>69</v>
      </c>
      <c r="B208" s="220"/>
      <c r="C208" s="202" t="s">
        <v>70</v>
      </c>
      <c r="D208" s="350">
        <f t="shared" si="19"/>
        <v>43019</v>
      </c>
      <c r="E208" s="409">
        <f t="shared" si="19"/>
        <v>0</v>
      </c>
      <c r="F208" s="167">
        <f t="shared" si="17"/>
        <v>43019</v>
      </c>
      <c r="G208" s="532"/>
    </row>
    <row r="209" spans="1:7" ht="18" hidden="1" customHeight="1">
      <c r="A209" s="219"/>
      <c r="B209" s="475" t="s">
        <v>71</v>
      </c>
      <c r="C209" s="202" t="s">
        <v>72</v>
      </c>
      <c r="D209" s="350">
        <f t="shared" si="19"/>
        <v>3154</v>
      </c>
      <c r="E209" s="409">
        <f t="shared" si="19"/>
        <v>0</v>
      </c>
      <c r="F209" s="167">
        <f t="shared" si="17"/>
        <v>3154</v>
      </c>
      <c r="G209" s="532"/>
    </row>
    <row r="210" spans="1:7" ht="18" hidden="1" customHeight="1">
      <c r="A210" s="226"/>
      <c r="B210" s="475" t="s">
        <v>73</v>
      </c>
      <c r="C210" s="202" t="s">
        <v>74</v>
      </c>
      <c r="D210" s="350">
        <f t="shared" si="19"/>
        <v>37938</v>
      </c>
      <c r="E210" s="409">
        <f t="shared" si="19"/>
        <v>0</v>
      </c>
      <c r="F210" s="167">
        <f t="shared" si="17"/>
        <v>37938</v>
      </c>
      <c r="G210" s="532"/>
    </row>
    <row r="211" spans="1:7" ht="18" hidden="1" customHeight="1">
      <c r="A211" s="226"/>
      <c r="B211" s="475" t="s">
        <v>881</v>
      </c>
      <c r="C211" s="202" t="s">
        <v>882</v>
      </c>
      <c r="D211" s="350">
        <f>D413</f>
        <v>41</v>
      </c>
      <c r="E211" s="409">
        <f>E413</f>
        <v>0</v>
      </c>
      <c r="F211" s="167">
        <f t="shared" si="17"/>
        <v>41</v>
      </c>
      <c r="G211" s="532"/>
    </row>
    <row r="212" spans="1:7" ht="18" hidden="1" customHeight="1">
      <c r="A212" s="226"/>
      <c r="B212" s="222" t="s">
        <v>883</v>
      </c>
      <c r="C212" s="202">
        <v>58</v>
      </c>
      <c r="D212" s="350">
        <f>D374+D406+D468+D651+D549+D604+D785</f>
        <v>15568</v>
      </c>
      <c r="E212" s="409">
        <f>E374+E406+E468+E651+E549+E604+E785</f>
        <v>0</v>
      </c>
      <c r="F212" s="167">
        <f t="shared" si="17"/>
        <v>15568</v>
      </c>
      <c r="G212" s="532"/>
    </row>
    <row r="213" spans="1:7" ht="18" hidden="1" customHeight="1">
      <c r="A213" s="215"/>
      <c r="B213" s="396" t="s">
        <v>746</v>
      </c>
      <c r="C213" s="203">
        <v>59</v>
      </c>
      <c r="D213" s="350">
        <f>D271+D308+D375+D415+D469+D501+D556+D652+D822+D606</f>
        <v>29546.5</v>
      </c>
      <c r="E213" s="409">
        <f>E271+E308+E375+E415+E469+E501+E556+E652+E822+E606</f>
        <v>155</v>
      </c>
      <c r="F213" s="167">
        <f t="shared" si="17"/>
        <v>29701.5</v>
      </c>
      <c r="G213" s="532"/>
    </row>
    <row r="214" spans="1:7" ht="18" hidden="1" customHeight="1">
      <c r="A214" s="219" t="s">
        <v>75</v>
      </c>
      <c r="B214" s="220"/>
      <c r="C214" s="202" t="s">
        <v>76</v>
      </c>
      <c r="D214" s="350">
        <f>D416</f>
        <v>0</v>
      </c>
      <c r="E214" s="409">
        <f>E416</f>
        <v>0</v>
      </c>
      <c r="F214" s="167">
        <f t="shared" si="17"/>
        <v>0</v>
      </c>
      <c r="G214" s="532"/>
    </row>
    <row r="215" spans="1:7" ht="18" hidden="1" customHeight="1">
      <c r="A215" s="206" t="s">
        <v>263</v>
      </c>
      <c r="B215" s="208"/>
      <c r="C215" s="202" t="s">
        <v>108</v>
      </c>
      <c r="D215" s="350"/>
      <c r="E215" s="409"/>
      <c r="F215" s="167">
        <f t="shared" si="17"/>
        <v>0</v>
      </c>
      <c r="G215" s="532"/>
    </row>
    <row r="216" spans="1:7" ht="18" hidden="1" customHeight="1">
      <c r="A216" s="206" t="s">
        <v>77</v>
      </c>
      <c r="B216" s="396"/>
      <c r="C216" s="202" t="s">
        <v>619</v>
      </c>
      <c r="D216" s="350"/>
      <c r="E216" s="409"/>
      <c r="F216" s="167">
        <f t="shared" si="17"/>
        <v>0</v>
      </c>
      <c r="G216" s="532"/>
    </row>
    <row r="217" spans="1:7" ht="18" hidden="1" customHeight="1">
      <c r="A217" s="206" t="s">
        <v>78</v>
      </c>
      <c r="B217" s="396"/>
      <c r="C217" s="202" t="s">
        <v>620</v>
      </c>
      <c r="D217" s="350">
        <f>D503</f>
        <v>0</v>
      </c>
      <c r="E217" s="409">
        <f>E503</f>
        <v>0</v>
      </c>
      <c r="F217" s="167">
        <f t="shared" si="17"/>
        <v>0</v>
      </c>
      <c r="G217" s="532"/>
    </row>
    <row r="218" spans="1:7" ht="18" hidden="1" customHeight="1">
      <c r="A218" s="206" t="s">
        <v>264</v>
      </c>
      <c r="B218" s="396"/>
      <c r="C218" s="202" t="s">
        <v>265</v>
      </c>
      <c r="D218" s="350"/>
      <c r="E218" s="409"/>
      <c r="F218" s="167">
        <f t="shared" si="17"/>
        <v>0</v>
      </c>
      <c r="G218" s="532"/>
    </row>
    <row r="219" spans="1:7" ht="18" hidden="1" customHeight="1">
      <c r="A219" s="206" t="s">
        <v>266</v>
      </c>
      <c r="B219" s="396"/>
      <c r="C219" s="202" t="s">
        <v>267</v>
      </c>
      <c r="D219" s="350"/>
      <c r="E219" s="409"/>
      <c r="F219" s="167">
        <f t="shared" si="17"/>
        <v>0</v>
      </c>
      <c r="G219" s="532"/>
    </row>
    <row r="220" spans="1:7" ht="18" hidden="1" customHeight="1">
      <c r="A220" s="227" t="s">
        <v>884</v>
      </c>
      <c r="B220" s="474"/>
      <c r="C220" s="202" t="s">
        <v>819</v>
      </c>
      <c r="D220" s="350">
        <f>D273+D418+D470</f>
        <v>1128</v>
      </c>
      <c r="E220" s="409">
        <f>E273+E418+E470</f>
        <v>0</v>
      </c>
      <c r="F220" s="167">
        <f t="shared" si="17"/>
        <v>1128</v>
      </c>
      <c r="G220" s="532"/>
    </row>
    <row r="221" spans="1:7" ht="56.25" hidden="1" customHeight="1">
      <c r="A221" s="565" t="s">
        <v>1002</v>
      </c>
      <c r="B221" s="566"/>
      <c r="C221" s="202">
        <v>60</v>
      </c>
      <c r="D221" s="350">
        <f>D407+D471+D550+D605+D655+D786</f>
        <v>155419</v>
      </c>
      <c r="E221" s="409">
        <f>E407+E550+E605+E655+E786</f>
        <v>0</v>
      </c>
      <c r="F221" s="167">
        <f t="shared" si="17"/>
        <v>155419</v>
      </c>
      <c r="G221" s="532"/>
    </row>
    <row r="222" spans="1:7" ht="59.25" hidden="1" customHeight="1">
      <c r="A222" s="561" t="s">
        <v>1013</v>
      </c>
      <c r="B222" s="562"/>
      <c r="C222" s="202">
        <v>61</v>
      </c>
      <c r="D222" s="350">
        <f>D408+D608+D656+D787</f>
        <v>243953</v>
      </c>
      <c r="E222" s="409">
        <f>E408+E608+E787</f>
        <v>0</v>
      </c>
      <c r="F222" s="167">
        <f t="shared" si="17"/>
        <v>243953</v>
      </c>
      <c r="G222" s="532"/>
    </row>
    <row r="223" spans="1:7" ht="18" hidden="1" customHeight="1">
      <c r="A223" s="215"/>
      <c r="B223" s="468" t="s">
        <v>885</v>
      </c>
      <c r="C223" s="203">
        <v>70</v>
      </c>
      <c r="D223" s="350">
        <f>D274+D309+D355+D376+D419+D472+D505+D558+D609+D657+D693+D725+D761+D788+D824</f>
        <v>78763</v>
      </c>
      <c r="E223" s="409">
        <f>E274+E309+E355+E376+E419+E472+E505+E558+E609+E657+E693+E725+E761+E788+E824</f>
        <v>5010</v>
      </c>
      <c r="F223" s="167">
        <f t="shared" si="17"/>
        <v>83773</v>
      </c>
      <c r="G223" s="532"/>
    </row>
    <row r="224" spans="1:7" ht="18" hidden="1" customHeight="1">
      <c r="A224" s="526" t="s">
        <v>886</v>
      </c>
      <c r="B224" s="529"/>
      <c r="C224" s="203">
        <v>71</v>
      </c>
      <c r="D224" s="350">
        <f>D275+D310+D356+D377+D420+D473+D506+D559+D610+D658+D694+D726+D762+D789+D825</f>
        <v>78763</v>
      </c>
      <c r="E224" s="409">
        <f>E275+E310+E356+E377+E420+E473+E506+E559+E610+E658+E694+E726+E762+E789+E825</f>
        <v>5010</v>
      </c>
      <c r="F224" s="210">
        <f>F275+F310+F356+F377+F420+F473+F506+F559+F610+F658+F694+F726+F762+F789+F825</f>
        <v>83773</v>
      </c>
      <c r="G224" s="532"/>
    </row>
    <row r="225" spans="1:7" ht="18" hidden="1" customHeight="1">
      <c r="A225" s="526" t="s">
        <v>79</v>
      </c>
      <c r="B225" s="529"/>
      <c r="C225" s="202" t="s">
        <v>80</v>
      </c>
      <c r="D225" s="350"/>
      <c r="E225" s="409"/>
      <c r="F225" s="167">
        <f t="shared" ref="F225:F270" si="20">D225+E225</f>
        <v>0</v>
      </c>
      <c r="G225" s="532"/>
    </row>
    <row r="226" spans="1:7" ht="18" hidden="1" customHeight="1">
      <c r="A226" s="219"/>
      <c r="B226" s="218" t="s">
        <v>81</v>
      </c>
      <c r="C226" s="228" t="s">
        <v>82</v>
      </c>
      <c r="D226" s="350"/>
      <c r="E226" s="409"/>
      <c r="F226" s="167">
        <f t="shared" si="20"/>
        <v>0</v>
      </c>
      <c r="G226" s="532"/>
    </row>
    <row r="227" spans="1:7" ht="18" hidden="1" customHeight="1">
      <c r="A227" s="219"/>
      <c r="B227" s="220" t="s">
        <v>83</v>
      </c>
      <c r="C227" s="228" t="s">
        <v>84</v>
      </c>
      <c r="D227" s="350"/>
      <c r="E227" s="409"/>
      <c r="F227" s="167">
        <f t="shared" si="20"/>
        <v>0</v>
      </c>
      <c r="G227" s="532"/>
    </row>
    <row r="228" spans="1:7" ht="18" hidden="1" customHeight="1">
      <c r="A228" s="219"/>
      <c r="B228" s="220" t="s">
        <v>85</v>
      </c>
      <c r="C228" s="228" t="s">
        <v>86</v>
      </c>
      <c r="D228" s="350"/>
      <c r="E228" s="409"/>
      <c r="F228" s="167">
        <f t="shared" si="20"/>
        <v>0</v>
      </c>
      <c r="G228" s="532"/>
    </row>
    <row r="229" spans="1:7" ht="18" hidden="1" customHeight="1">
      <c r="A229" s="219"/>
      <c r="B229" s="475" t="s">
        <v>87</v>
      </c>
      <c r="C229" s="228" t="s">
        <v>88</v>
      </c>
      <c r="D229" s="350"/>
      <c r="E229" s="409"/>
      <c r="F229" s="167">
        <f t="shared" si="20"/>
        <v>0</v>
      </c>
      <c r="G229" s="532"/>
    </row>
    <row r="230" spans="1:7" ht="18" hidden="1" customHeight="1">
      <c r="A230" s="526" t="s">
        <v>268</v>
      </c>
      <c r="B230" s="529"/>
      <c r="C230" s="228" t="s">
        <v>269</v>
      </c>
      <c r="D230" s="350"/>
      <c r="E230" s="409"/>
      <c r="F230" s="167">
        <f t="shared" si="20"/>
        <v>0</v>
      </c>
      <c r="G230" s="532"/>
    </row>
    <row r="231" spans="1:7" ht="18" hidden="1" customHeight="1">
      <c r="A231" s="219" t="s">
        <v>977</v>
      </c>
      <c r="B231" s="218"/>
      <c r="C231" s="202">
        <v>72</v>
      </c>
      <c r="D231" s="350"/>
      <c r="E231" s="409"/>
      <c r="F231" s="167">
        <f t="shared" si="20"/>
        <v>0</v>
      </c>
      <c r="G231" s="532"/>
    </row>
    <row r="232" spans="1:7" ht="18" hidden="1" customHeight="1">
      <c r="A232" s="229" t="s">
        <v>270</v>
      </c>
      <c r="B232" s="218"/>
      <c r="C232" s="202" t="s">
        <v>271</v>
      </c>
      <c r="D232" s="350"/>
      <c r="E232" s="409"/>
      <c r="F232" s="167">
        <f t="shared" si="20"/>
        <v>0</v>
      </c>
      <c r="G232" s="532"/>
    </row>
    <row r="233" spans="1:7" ht="18" hidden="1" customHeight="1">
      <c r="A233" s="229"/>
      <c r="B233" s="220" t="s">
        <v>272</v>
      </c>
      <c r="C233" s="202" t="s">
        <v>273</v>
      </c>
      <c r="D233" s="350"/>
      <c r="E233" s="409"/>
      <c r="F233" s="167">
        <f t="shared" si="20"/>
        <v>0</v>
      </c>
      <c r="G233" s="532"/>
    </row>
    <row r="234" spans="1:7" ht="18" hidden="1" customHeight="1">
      <c r="A234" s="215" t="s">
        <v>614</v>
      </c>
      <c r="B234" s="220"/>
      <c r="C234" s="202">
        <v>79</v>
      </c>
      <c r="D234" s="350">
        <f>D282+D317+D427+D513+D566+D620+D668+D733+D763+D798+D832</f>
        <v>18488</v>
      </c>
      <c r="E234" s="409">
        <f>E282+E317+E427+E513+E566+E620+E668+E733+E763+E798+E832</f>
        <v>0</v>
      </c>
      <c r="F234" s="167">
        <f t="shared" si="20"/>
        <v>18488</v>
      </c>
      <c r="G234" s="532"/>
    </row>
    <row r="235" spans="1:7" ht="18" hidden="1" customHeight="1">
      <c r="A235" s="229" t="s">
        <v>976</v>
      </c>
      <c r="B235" s="220"/>
      <c r="C235" s="202">
        <v>80</v>
      </c>
      <c r="D235" s="350"/>
      <c r="E235" s="409"/>
      <c r="F235" s="167">
        <f t="shared" si="20"/>
        <v>0</v>
      </c>
      <c r="G235" s="532"/>
    </row>
    <row r="236" spans="1:7" ht="18" hidden="1" customHeight="1">
      <c r="A236" s="534" t="s">
        <v>274</v>
      </c>
      <c r="B236" s="529"/>
      <c r="C236" s="202" t="s">
        <v>275</v>
      </c>
      <c r="D236" s="350"/>
      <c r="E236" s="409"/>
      <c r="F236" s="167">
        <f t="shared" si="20"/>
        <v>0</v>
      </c>
      <c r="G236" s="532"/>
    </row>
    <row r="237" spans="1:7" ht="18" hidden="1" customHeight="1">
      <c r="A237" s="206" t="s">
        <v>276</v>
      </c>
      <c r="B237" s="205"/>
      <c r="C237" s="202" t="s">
        <v>277</v>
      </c>
      <c r="D237" s="350"/>
      <c r="E237" s="409"/>
      <c r="F237" s="167">
        <f t="shared" si="20"/>
        <v>0</v>
      </c>
      <c r="G237" s="532"/>
    </row>
    <row r="238" spans="1:7" ht="18" hidden="1" customHeight="1">
      <c r="A238" s="219" t="s">
        <v>89</v>
      </c>
      <c r="B238" s="220"/>
      <c r="C238" s="202">
        <v>81</v>
      </c>
      <c r="D238" s="350">
        <f>D283+D318+D428+D514+D567+D621+D669+D734+D764+D799+D836</f>
        <v>18488</v>
      </c>
      <c r="E238" s="409">
        <f>E283+E318+E428+E514+E567+E621+E669+E734+E764+E799+E836</f>
        <v>0</v>
      </c>
      <c r="F238" s="167">
        <f t="shared" si="20"/>
        <v>18488</v>
      </c>
      <c r="G238" s="532"/>
    </row>
    <row r="239" spans="1:7" ht="18" hidden="1" customHeight="1">
      <c r="A239" s="206" t="s">
        <v>278</v>
      </c>
      <c r="B239" s="220"/>
      <c r="C239" s="202" t="s">
        <v>279</v>
      </c>
      <c r="D239" s="350"/>
      <c r="E239" s="409"/>
      <c r="F239" s="167">
        <f t="shared" si="20"/>
        <v>0</v>
      </c>
      <c r="G239" s="532"/>
    </row>
    <row r="240" spans="1:7" ht="18" hidden="1" customHeight="1">
      <c r="A240" s="206" t="s">
        <v>629</v>
      </c>
      <c r="B240" s="220"/>
      <c r="C240" s="202" t="s">
        <v>602</v>
      </c>
      <c r="D240" s="350">
        <f>D285+D430+D515+D568+D623+D671+D736+D765+D800+D837</f>
        <v>967</v>
      </c>
      <c r="E240" s="409">
        <f>E285+E430+E515+E568+E623+E671+E736+E765+E800+E837</f>
        <v>0</v>
      </c>
      <c r="F240" s="167">
        <f t="shared" si="20"/>
        <v>967</v>
      </c>
      <c r="G240" s="532"/>
    </row>
    <row r="241" spans="1:7" ht="18" hidden="1" customHeight="1">
      <c r="A241" s="206" t="s">
        <v>887</v>
      </c>
      <c r="B241" s="220"/>
      <c r="C241" s="202" t="s">
        <v>888</v>
      </c>
      <c r="D241" s="350">
        <f>D431+D569+D624+D766+D801</f>
        <v>17521</v>
      </c>
      <c r="E241" s="409">
        <f>E431+E569+E624+E766+E801</f>
        <v>0</v>
      </c>
      <c r="F241" s="167">
        <f t="shared" si="20"/>
        <v>17521</v>
      </c>
      <c r="G241" s="532"/>
    </row>
    <row r="242" spans="1:7" ht="18" hidden="1" customHeight="1">
      <c r="A242" s="206"/>
      <c r="B242" s="220" t="s">
        <v>318</v>
      </c>
      <c r="C242" s="202">
        <v>85</v>
      </c>
      <c r="D242" s="350">
        <f>D286+D320+D384+D432+D516+D570+D625+D672+D703+D802</f>
        <v>-430.47</v>
      </c>
      <c r="E242" s="409">
        <f>E286+E320+E384+E432+E516+E570+E625+E703+E802</f>
        <v>0</v>
      </c>
      <c r="F242" s="167">
        <f t="shared" si="20"/>
        <v>-430.47</v>
      </c>
      <c r="G242" s="532"/>
    </row>
    <row r="243" spans="1:7" ht="18" hidden="1" customHeight="1">
      <c r="A243" s="206"/>
      <c r="B243" s="220" t="s">
        <v>311</v>
      </c>
      <c r="C243" s="202" t="s">
        <v>312</v>
      </c>
      <c r="D243" s="350">
        <f>D287+D321+D385+D433+D517+D571+D626+D673+D704+D803</f>
        <v>-430.47</v>
      </c>
      <c r="E243" s="409">
        <f>E287+E321+E385+E433+E517+E571+E626+E704+E803</f>
        <v>0</v>
      </c>
      <c r="F243" s="167">
        <f t="shared" si="20"/>
        <v>-430.47</v>
      </c>
      <c r="G243" s="532"/>
    </row>
    <row r="244" spans="1:7" ht="18" hidden="1" customHeight="1">
      <c r="A244" s="215"/>
      <c r="B244" s="220"/>
      <c r="C244" s="203">
        <v>90</v>
      </c>
      <c r="D244" s="350"/>
      <c r="E244" s="409"/>
      <c r="F244" s="167">
        <f t="shared" si="20"/>
        <v>0</v>
      </c>
      <c r="G244" s="532"/>
    </row>
    <row r="245" spans="1:7" ht="18" hidden="1" customHeight="1">
      <c r="A245" s="230" t="s">
        <v>637</v>
      </c>
      <c r="B245" s="475"/>
      <c r="C245" s="202" t="s">
        <v>280</v>
      </c>
      <c r="D245" s="350"/>
      <c r="E245" s="409"/>
      <c r="F245" s="167">
        <f t="shared" si="20"/>
        <v>0</v>
      </c>
      <c r="G245" s="532"/>
    </row>
    <row r="246" spans="1:7" ht="18" hidden="1" customHeight="1">
      <c r="A246" s="230" t="s">
        <v>90</v>
      </c>
      <c r="B246" s="475"/>
      <c r="C246" s="202" t="s">
        <v>91</v>
      </c>
      <c r="D246" s="350"/>
      <c r="E246" s="409"/>
      <c r="F246" s="167">
        <f t="shared" si="20"/>
        <v>0</v>
      </c>
      <c r="G246" s="532"/>
    </row>
    <row r="247" spans="1:7" ht="2.25" hidden="1" customHeight="1">
      <c r="A247" s="230" t="s">
        <v>281</v>
      </c>
      <c r="B247" s="475"/>
      <c r="C247" s="202" t="s">
        <v>282</v>
      </c>
      <c r="D247" s="350"/>
      <c r="E247" s="409"/>
      <c r="F247" s="167">
        <f t="shared" si="20"/>
        <v>0</v>
      </c>
      <c r="G247" s="533"/>
    </row>
    <row r="248" spans="1:7" ht="0.75" customHeight="1">
      <c r="A248" s="231"/>
      <c r="B248" s="474"/>
      <c r="C248" s="202"/>
      <c r="D248" s="350"/>
      <c r="E248" s="409"/>
      <c r="F248" s="167">
        <f t="shared" si="20"/>
        <v>0</v>
      </c>
    </row>
    <row r="249" spans="1:7" ht="18.75" customHeight="1">
      <c r="A249" s="524" t="s">
        <v>889</v>
      </c>
      <c r="B249" s="529"/>
      <c r="C249" s="203" t="s">
        <v>559</v>
      </c>
      <c r="D249" s="350">
        <f>D250+D292+D329+D338</f>
        <v>66754.86</v>
      </c>
      <c r="E249" s="409">
        <f>E250+E292+E329+E338</f>
        <v>0</v>
      </c>
      <c r="F249" s="167">
        <f t="shared" si="20"/>
        <v>66754.86</v>
      </c>
    </row>
    <row r="250" spans="1:7" ht="19.5" customHeight="1">
      <c r="A250" s="232"/>
      <c r="B250" s="233" t="s">
        <v>92</v>
      </c>
      <c r="C250" s="202" t="s">
        <v>560</v>
      </c>
      <c r="D250" s="350">
        <f>D289</f>
        <v>50826</v>
      </c>
      <c r="E250" s="409">
        <f>E289</f>
        <v>0</v>
      </c>
      <c r="F250" s="167">
        <f t="shared" si="20"/>
        <v>50826</v>
      </c>
    </row>
    <row r="251" spans="1:7" ht="18" customHeight="1">
      <c r="A251" s="234" t="s">
        <v>914</v>
      </c>
      <c r="B251" s="397"/>
      <c r="C251" s="235" t="s">
        <v>49</v>
      </c>
      <c r="D251" s="367">
        <f>D252+D253+D264+D269+D266+D271</f>
        <v>50765.120000000003</v>
      </c>
      <c r="E251" s="414">
        <f>E252+E253+E264+E269+E266+E271</f>
        <v>0</v>
      </c>
      <c r="F251" s="167">
        <f t="shared" si="20"/>
        <v>50765.120000000003</v>
      </c>
    </row>
    <row r="252" spans="1:7" ht="18" customHeight="1">
      <c r="A252" s="221" t="s">
        <v>561</v>
      </c>
      <c r="B252" s="474"/>
      <c r="C252" s="235">
        <v>10</v>
      </c>
      <c r="D252" s="248">
        <f>D1088</f>
        <v>46260.12</v>
      </c>
      <c r="E252" s="214">
        <f>E1088</f>
        <v>0</v>
      </c>
      <c r="F252" s="167">
        <f t="shared" si="20"/>
        <v>46260.12</v>
      </c>
    </row>
    <row r="253" spans="1:7" ht="18" customHeight="1">
      <c r="A253" s="236" t="s">
        <v>562</v>
      </c>
      <c r="B253" s="474"/>
      <c r="C253" s="224">
        <v>20</v>
      </c>
      <c r="D253" s="248">
        <f>D1089</f>
        <v>3725</v>
      </c>
      <c r="E253" s="214">
        <f>E1089</f>
        <v>0</v>
      </c>
      <c r="F253" s="167">
        <f t="shared" si="20"/>
        <v>3725</v>
      </c>
    </row>
    <row r="254" spans="1:7" ht="18" hidden="1" customHeight="1">
      <c r="A254" s="219" t="s">
        <v>283</v>
      </c>
      <c r="B254" s="474"/>
      <c r="C254" s="235" t="s">
        <v>592</v>
      </c>
      <c r="D254" s="248"/>
      <c r="E254" s="214"/>
      <c r="F254" s="167">
        <f t="shared" si="20"/>
        <v>0</v>
      </c>
    </row>
    <row r="255" spans="1:7" ht="18" hidden="1" customHeight="1">
      <c r="A255" s="215"/>
      <c r="B255" s="474"/>
      <c r="C255" s="235" t="s">
        <v>56</v>
      </c>
      <c r="D255" s="248"/>
      <c r="E255" s="214"/>
      <c r="F255" s="167">
        <f t="shared" si="20"/>
        <v>0</v>
      </c>
    </row>
    <row r="256" spans="1:7" ht="11.25" hidden="1" customHeight="1">
      <c r="A256" s="215"/>
      <c r="B256" s="222" t="s">
        <v>100</v>
      </c>
      <c r="C256" s="235" t="s">
        <v>58</v>
      </c>
      <c r="D256" s="248"/>
      <c r="E256" s="214"/>
      <c r="F256" s="167">
        <f t="shared" si="20"/>
        <v>0</v>
      </c>
    </row>
    <row r="257" spans="1:6" ht="18" hidden="1" customHeight="1">
      <c r="A257" s="219" t="s">
        <v>284</v>
      </c>
      <c r="B257" s="218"/>
      <c r="C257" s="235">
        <v>55</v>
      </c>
      <c r="D257" s="248"/>
      <c r="E257" s="214"/>
      <c r="F257" s="167">
        <f t="shared" si="20"/>
        <v>0</v>
      </c>
    </row>
    <row r="258" spans="1:6" ht="18" hidden="1" customHeight="1">
      <c r="A258" s="221"/>
      <c r="B258" s="218"/>
      <c r="C258" s="224" t="s">
        <v>67</v>
      </c>
      <c r="D258" s="248"/>
      <c r="E258" s="214"/>
      <c r="F258" s="167">
        <f t="shared" si="20"/>
        <v>0</v>
      </c>
    </row>
    <row r="259" spans="1:6" ht="18" hidden="1" customHeight="1">
      <c r="A259" s="219"/>
      <c r="B259" s="220" t="s">
        <v>285</v>
      </c>
      <c r="C259" s="224" t="s">
        <v>258</v>
      </c>
      <c r="D259" s="248"/>
      <c r="E259" s="214"/>
      <c r="F259" s="167">
        <f t="shared" si="20"/>
        <v>0</v>
      </c>
    </row>
    <row r="260" spans="1:6" ht="18" hidden="1" customHeight="1">
      <c r="A260" s="219"/>
      <c r="B260" s="218" t="s">
        <v>624</v>
      </c>
      <c r="C260" s="224" t="s">
        <v>625</v>
      </c>
      <c r="D260" s="248"/>
      <c r="E260" s="214"/>
      <c r="F260" s="167">
        <f t="shared" si="20"/>
        <v>0</v>
      </c>
    </row>
    <row r="261" spans="1:6" ht="18" hidden="1" customHeight="1">
      <c r="A261" s="237" t="s">
        <v>286</v>
      </c>
      <c r="B261" s="220"/>
      <c r="C261" s="235">
        <v>59</v>
      </c>
      <c r="D261" s="248"/>
      <c r="E261" s="214"/>
      <c r="F261" s="167">
        <f t="shared" si="20"/>
        <v>0</v>
      </c>
    </row>
    <row r="262" spans="1:6" ht="18" hidden="1" customHeight="1">
      <c r="A262" s="219"/>
      <c r="B262" s="475"/>
      <c r="C262" s="224" t="s">
        <v>267</v>
      </c>
      <c r="D262" s="248"/>
      <c r="E262" s="214"/>
      <c r="F262" s="167">
        <f t="shared" si="20"/>
        <v>0</v>
      </c>
    </row>
    <row r="263" spans="1:6" ht="18" hidden="1" customHeight="1">
      <c r="A263" s="238" t="s">
        <v>304</v>
      </c>
      <c r="B263" s="475"/>
      <c r="C263" s="224">
        <v>55</v>
      </c>
      <c r="D263" s="378">
        <f>D264</f>
        <v>0</v>
      </c>
      <c r="E263" s="415">
        <f>E264</f>
        <v>0</v>
      </c>
      <c r="F263" s="167">
        <f t="shared" si="20"/>
        <v>0</v>
      </c>
    </row>
    <row r="264" spans="1:6" ht="18" hidden="1" customHeight="1">
      <c r="A264" s="238" t="s">
        <v>348</v>
      </c>
      <c r="B264" s="475"/>
      <c r="C264" s="224" t="s">
        <v>67</v>
      </c>
      <c r="D264" s="378">
        <f>D265+D268</f>
        <v>0</v>
      </c>
      <c r="E264" s="415">
        <f>E265+E268</f>
        <v>0</v>
      </c>
      <c r="F264" s="167">
        <f t="shared" si="20"/>
        <v>0</v>
      </c>
    </row>
    <row r="265" spans="1:6" ht="18" hidden="1" customHeight="1">
      <c r="A265" s="238" t="s">
        <v>624</v>
      </c>
      <c r="B265" s="475"/>
      <c r="C265" s="224" t="s">
        <v>625</v>
      </c>
      <c r="D265" s="248"/>
      <c r="E265" s="214"/>
      <c r="F265" s="167">
        <f t="shared" si="20"/>
        <v>0</v>
      </c>
    </row>
    <row r="266" spans="1:6" ht="36" hidden="1" customHeight="1">
      <c r="A266" s="215"/>
      <c r="B266" s="222" t="s">
        <v>321</v>
      </c>
      <c r="C266" s="235">
        <v>56</v>
      </c>
      <c r="D266" s="248"/>
      <c r="E266" s="214"/>
      <c r="F266" s="167">
        <f t="shared" si="20"/>
        <v>0</v>
      </c>
    </row>
    <row r="267" spans="1:6" ht="18" hidden="1" customHeight="1">
      <c r="A267" s="215"/>
      <c r="B267" s="222" t="s">
        <v>315</v>
      </c>
      <c r="C267" s="235">
        <v>56.01</v>
      </c>
      <c r="D267" s="248"/>
      <c r="E267" s="214"/>
      <c r="F267" s="167">
        <f t="shared" si="20"/>
        <v>0</v>
      </c>
    </row>
    <row r="268" spans="1:6" ht="18" hidden="1" customHeight="1">
      <c r="A268" s="215"/>
      <c r="B268" s="222" t="s">
        <v>347</v>
      </c>
      <c r="C268" s="224" t="s">
        <v>329</v>
      </c>
      <c r="D268" s="248">
        <f>D1927</f>
        <v>0</v>
      </c>
      <c r="E268" s="214">
        <f>E1927</f>
        <v>0</v>
      </c>
      <c r="F268" s="167">
        <f t="shared" si="20"/>
        <v>0</v>
      </c>
    </row>
    <row r="269" spans="1:6" ht="18" hidden="1" customHeight="1">
      <c r="A269" s="238" t="s">
        <v>316</v>
      </c>
      <c r="B269" s="475"/>
      <c r="C269" s="224">
        <v>57</v>
      </c>
      <c r="D269" s="248"/>
      <c r="E269" s="214"/>
      <c r="F269" s="167">
        <f t="shared" si="20"/>
        <v>0</v>
      </c>
    </row>
    <row r="270" spans="1:6" ht="18" hidden="1" customHeight="1">
      <c r="A270" s="219"/>
      <c r="B270" s="475" t="s">
        <v>308</v>
      </c>
      <c r="C270" s="224" t="s">
        <v>292</v>
      </c>
      <c r="D270" s="248"/>
      <c r="E270" s="214"/>
      <c r="F270" s="167">
        <f t="shared" si="20"/>
        <v>0</v>
      </c>
    </row>
    <row r="271" spans="1:6" ht="18" customHeight="1">
      <c r="A271" s="215" t="s">
        <v>659</v>
      </c>
      <c r="B271" s="396"/>
      <c r="C271" s="235">
        <v>59</v>
      </c>
      <c r="D271" s="248">
        <f>D272+D273</f>
        <v>780</v>
      </c>
      <c r="E271" s="214">
        <f>E272+E273</f>
        <v>0</v>
      </c>
      <c r="F271" s="339">
        <f>F272+F273</f>
        <v>780</v>
      </c>
    </row>
    <row r="272" spans="1:6" ht="18" hidden="1" customHeight="1">
      <c r="A272" s="215"/>
      <c r="B272" s="239" t="s">
        <v>349</v>
      </c>
      <c r="C272" s="224" t="s">
        <v>267</v>
      </c>
      <c r="D272" s="248">
        <f>D1098</f>
        <v>0</v>
      </c>
      <c r="E272" s="214">
        <f>E1098</f>
        <v>0</v>
      </c>
      <c r="F272" s="339">
        <f>F1098</f>
        <v>0</v>
      </c>
    </row>
    <row r="273" spans="1:6" ht="18" customHeight="1">
      <c r="A273" s="219"/>
      <c r="B273" s="366" t="s">
        <v>884</v>
      </c>
      <c r="C273" s="224" t="s">
        <v>819</v>
      </c>
      <c r="D273" s="248">
        <f>D1099</f>
        <v>780</v>
      </c>
      <c r="E273" s="214">
        <f>E1099</f>
        <v>0</v>
      </c>
      <c r="F273" s="167">
        <f t="shared" ref="F273:F292" si="21">D273+E273</f>
        <v>780</v>
      </c>
    </row>
    <row r="274" spans="1:6" ht="18" customHeight="1">
      <c r="A274" s="240" t="s">
        <v>915</v>
      </c>
      <c r="B274" s="474"/>
      <c r="C274" s="224">
        <v>70</v>
      </c>
      <c r="D274" s="378">
        <f>D275</f>
        <v>404</v>
      </c>
      <c r="E274" s="415">
        <f>E275</f>
        <v>0</v>
      </c>
      <c r="F274" s="167">
        <f t="shared" si="21"/>
        <v>404</v>
      </c>
    </row>
    <row r="275" spans="1:6" ht="20.25">
      <c r="A275" s="226" t="s">
        <v>1014</v>
      </c>
      <c r="B275" s="474"/>
      <c r="C275" s="224">
        <v>71</v>
      </c>
      <c r="D275" s="248">
        <f>D1933</f>
        <v>404</v>
      </c>
      <c r="E275" s="214">
        <f>E1933</f>
        <v>0</v>
      </c>
      <c r="F275" s="167">
        <f t="shared" si="21"/>
        <v>404</v>
      </c>
    </row>
    <row r="276" spans="1:6" ht="20.25" hidden="1">
      <c r="A276" s="219" t="s">
        <v>93</v>
      </c>
      <c r="B276" s="474"/>
      <c r="C276" s="224" t="s">
        <v>80</v>
      </c>
      <c r="D276" s="248"/>
      <c r="E276" s="214"/>
      <c r="F276" s="167">
        <f t="shared" si="21"/>
        <v>0</v>
      </c>
    </row>
    <row r="277" spans="1:6" ht="18" hidden="1" customHeight="1">
      <c r="A277" s="219"/>
      <c r="B277" s="218" t="s">
        <v>81</v>
      </c>
      <c r="C277" s="241" t="s">
        <v>82</v>
      </c>
      <c r="D277" s="248"/>
      <c r="E277" s="214"/>
      <c r="F277" s="167">
        <f t="shared" si="21"/>
        <v>0</v>
      </c>
    </row>
    <row r="278" spans="1:6" ht="20.25" hidden="1">
      <c r="A278" s="219"/>
      <c r="B278" s="220" t="s">
        <v>83</v>
      </c>
      <c r="C278" s="241" t="s">
        <v>84</v>
      </c>
      <c r="D278" s="248"/>
      <c r="E278" s="214"/>
      <c r="F278" s="167">
        <f t="shared" si="21"/>
        <v>0</v>
      </c>
    </row>
    <row r="279" spans="1:6" ht="20.25" hidden="1">
      <c r="A279" s="219"/>
      <c r="B279" s="220" t="s">
        <v>94</v>
      </c>
      <c r="C279" s="241" t="s">
        <v>86</v>
      </c>
      <c r="D279" s="248"/>
      <c r="E279" s="214"/>
      <c r="F279" s="167">
        <f t="shared" si="21"/>
        <v>0</v>
      </c>
    </row>
    <row r="280" spans="1:6" ht="20.25" hidden="1">
      <c r="A280" s="219"/>
      <c r="B280" s="220" t="s">
        <v>87</v>
      </c>
      <c r="C280" s="241" t="s">
        <v>88</v>
      </c>
      <c r="D280" s="248"/>
      <c r="E280" s="214"/>
      <c r="F280" s="167">
        <f t="shared" si="21"/>
        <v>0</v>
      </c>
    </row>
    <row r="281" spans="1:6" ht="20.25" hidden="1">
      <c r="A281" s="526" t="s">
        <v>268</v>
      </c>
      <c r="B281" s="529"/>
      <c r="C281" s="241" t="s">
        <v>269</v>
      </c>
      <c r="D281" s="248"/>
      <c r="E281" s="214"/>
      <c r="F281" s="167">
        <f t="shared" si="21"/>
        <v>0</v>
      </c>
    </row>
    <row r="282" spans="1:6" ht="20.25" hidden="1">
      <c r="A282" s="215"/>
      <c r="B282" s="220"/>
      <c r="C282" s="224">
        <v>79</v>
      </c>
      <c r="D282" s="248"/>
      <c r="E282" s="214"/>
      <c r="F282" s="167">
        <f t="shared" si="21"/>
        <v>0</v>
      </c>
    </row>
    <row r="283" spans="1:6" ht="20.25" hidden="1">
      <c r="A283" s="219"/>
      <c r="B283" s="220"/>
      <c r="C283" s="224">
        <v>81</v>
      </c>
      <c r="D283" s="248"/>
      <c r="E283" s="214"/>
      <c r="F283" s="167">
        <f t="shared" si="21"/>
        <v>0</v>
      </c>
    </row>
    <row r="284" spans="1:6" ht="20.25" hidden="1">
      <c r="A284" s="206" t="s">
        <v>287</v>
      </c>
      <c r="B284" s="220"/>
      <c r="C284" s="224" t="s">
        <v>279</v>
      </c>
      <c r="D284" s="248"/>
      <c r="E284" s="214"/>
      <c r="F284" s="167">
        <f t="shared" si="21"/>
        <v>0</v>
      </c>
    </row>
    <row r="285" spans="1:6" ht="20.25" hidden="1">
      <c r="A285" s="206" t="s">
        <v>629</v>
      </c>
      <c r="B285" s="220"/>
      <c r="C285" s="224" t="s">
        <v>602</v>
      </c>
      <c r="D285" s="248"/>
      <c r="E285" s="214"/>
      <c r="F285" s="167">
        <f t="shared" si="21"/>
        <v>0</v>
      </c>
    </row>
    <row r="286" spans="1:6" ht="20.25">
      <c r="A286" s="206" t="s">
        <v>1015</v>
      </c>
      <c r="B286" s="220"/>
      <c r="C286" s="224">
        <v>85</v>
      </c>
      <c r="D286" s="378">
        <f>D287</f>
        <v>-343.12</v>
      </c>
      <c r="E286" s="415">
        <f>E287</f>
        <v>0</v>
      </c>
      <c r="F286" s="167">
        <f t="shared" si="21"/>
        <v>-343.12</v>
      </c>
    </row>
    <row r="287" spans="1:6" ht="18" customHeight="1">
      <c r="A287" s="206"/>
      <c r="B287" s="220" t="s">
        <v>311</v>
      </c>
      <c r="C287" s="224" t="s">
        <v>312</v>
      </c>
      <c r="D287" s="248">
        <f>D1121</f>
        <v>-343.12</v>
      </c>
      <c r="E287" s="214">
        <f>E1121</f>
        <v>0</v>
      </c>
      <c r="F287" s="167">
        <f t="shared" si="21"/>
        <v>-343.12</v>
      </c>
    </row>
    <row r="288" spans="1:6" ht="18.75" hidden="1" customHeight="1">
      <c r="A288" s="242"/>
      <c r="B288" s="243"/>
      <c r="C288" s="224"/>
      <c r="D288" s="248"/>
      <c r="E288" s="214"/>
      <c r="F288" s="167">
        <f t="shared" si="21"/>
        <v>0</v>
      </c>
    </row>
    <row r="289" spans="1:6" ht="20.25">
      <c r="A289" s="244" t="s">
        <v>95</v>
      </c>
      <c r="B289" s="245"/>
      <c r="C289" s="224" t="s">
        <v>96</v>
      </c>
      <c r="D289" s="378">
        <f>D290</f>
        <v>50826</v>
      </c>
      <c r="E289" s="415">
        <f>E290</f>
        <v>0</v>
      </c>
      <c r="F289" s="167">
        <f t="shared" si="21"/>
        <v>50826</v>
      </c>
    </row>
    <row r="290" spans="1:6" ht="18" customHeight="1">
      <c r="A290" s="244"/>
      <c r="B290" s="475" t="s">
        <v>97</v>
      </c>
      <c r="C290" s="224" t="s">
        <v>631</v>
      </c>
      <c r="D290" s="248">
        <f>D1124+D1948</f>
        <v>50826</v>
      </c>
      <c r="E290" s="214">
        <f>E1124+E1948</f>
        <v>0</v>
      </c>
      <c r="F290" s="167">
        <f t="shared" si="21"/>
        <v>50826</v>
      </c>
    </row>
    <row r="291" spans="1:6" ht="0.75" customHeight="1" thickBot="1">
      <c r="A291" s="246"/>
      <c r="B291" s="474"/>
      <c r="C291" s="224"/>
      <c r="D291" s="483"/>
      <c r="E291" s="416"/>
      <c r="F291" s="167">
        <f t="shared" si="21"/>
        <v>0</v>
      </c>
    </row>
    <row r="292" spans="1:6" ht="20.25">
      <c r="A292" s="206"/>
      <c r="B292" s="209" t="s">
        <v>98</v>
      </c>
      <c r="C292" s="202" t="s">
        <v>563</v>
      </c>
      <c r="D292" s="348">
        <f>D323+D324+D325+D326+D327</f>
        <v>3856.86</v>
      </c>
      <c r="E292" s="411">
        <f>E323+E324+E325+E326+E327</f>
        <v>0</v>
      </c>
      <c r="F292" s="167">
        <f t="shared" si="21"/>
        <v>3856.86</v>
      </c>
    </row>
    <row r="293" spans="1:6" ht="18" customHeight="1">
      <c r="A293" s="247" t="s">
        <v>99</v>
      </c>
      <c r="B293" s="474"/>
      <c r="C293" s="235" t="s">
        <v>49</v>
      </c>
      <c r="D293" s="367">
        <f>D294+D295+D296+D298+D302+D308</f>
        <v>3649</v>
      </c>
      <c r="E293" s="414">
        <f>E294+E295+E296+E298+E302+E308</f>
        <v>0</v>
      </c>
      <c r="F293" s="368">
        <f>F294+F295+F296+F298+F302+F308</f>
        <v>3649</v>
      </c>
    </row>
    <row r="294" spans="1:6" ht="18" customHeight="1">
      <c r="A294" s="204" t="s">
        <v>561</v>
      </c>
      <c r="B294" s="474"/>
      <c r="C294" s="235">
        <v>10</v>
      </c>
      <c r="D294" s="248">
        <f t="shared" ref="D294:E297" si="22">D1128</f>
        <v>3249</v>
      </c>
      <c r="E294" s="214">
        <f t="shared" si="22"/>
        <v>0</v>
      </c>
      <c r="F294" s="167">
        <f t="shared" ref="F294:F307" si="23">D294+E294</f>
        <v>3249</v>
      </c>
    </row>
    <row r="295" spans="1:6" ht="18" customHeight="1">
      <c r="A295" s="206" t="s">
        <v>562</v>
      </c>
      <c r="B295" s="474"/>
      <c r="C295" s="224">
        <v>20</v>
      </c>
      <c r="D295" s="248">
        <f t="shared" si="22"/>
        <v>400</v>
      </c>
      <c r="E295" s="214">
        <f t="shared" si="22"/>
        <v>0</v>
      </c>
      <c r="F295" s="167">
        <f t="shared" si="23"/>
        <v>400</v>
      </c>
    </row>
    <row r="296" spans="1:6" ht="18" hidden="1" customHeight="1">
      <c r="A296" s="237" t="s">
        <v>245</v>
      </c>
      <c r="B296" s="474"/>
      <c r="C296" s="224">
        <v>50</v>
      </c>
      <c r="D296" s="248">
        <f t="shared" si="22"/>
        <v>0</v>
      </c>
      <c r="E296" s="214">
        <f t="shared" si="22"/>
        <v>0</v>
      </c>
      <c r="F296" s="167">
        <f t="shared" si="23"/>
        <v>0</v>
      </c>
    </row>
    <row r="297" spans="1:6" ht="18" hidden="1" customHeight="1">
      <c r="A297" s="215" t="s">
        <v>1026</v>
      </c>
      <c r="B297" s="474"/>
      <c r="C297" s="224" t="s">
        <v>247</v>
      </c>
      <c r="D297" s="248">
        <f t="shared" si="22"/>
        <v>0</v>
      </c>
      <c r="E297" s="214">
        <f t="shared" si="22"/>
        <v>0</v>
      </c>
      <c r="F297" s="167">
        <f t="shared" si="23"/>
        <v>0</v>
      </c>
    </row>
    <row r="298" spans="1:6" ht="18" hidden="1" customHeight="1">
      <c r="A298" s="219" t="s">
        <v>54</v>
      </c>
      <c r="B298" s="474"/>
      <c r="C298" s="235" t="s">
        <v>592</v>
      </c>
      <c r="D298" s="248"/>
      <c r="E298" s="214"/>
      <c r="F298" s="167">
        <f t="shared" si="23"/>
        <v>0</v>
      </c>
    </row>
    <row r="299" spans="1:6" ht="18" hidden="1" customHeight="1">
      <c r="A299" s="219" t="s">
        <v>55</v>
      </c>
      <c r="B299" s="474"/>
      <c r="C299" s="235" t="s">
        <v>56</v>
      </c>
      <c r="D299" s="248"/>
      <c r="E299" s="214"/>
      <c r="F299" s="167">
        <f t="shared" si="23"/>
        <v>0</v>
      </c>
    </row>
    <row r="300" spans="1:6" ht="18" hidden="1" customHeight="1">
      <c r="A300" s="215"/>
      <c r="B300" s="222" t="s">
        <v>100</v>
      </c>
      <c r="C300" s="235" t="s">
        <v>58</v>
      </c>
      <c r="D300" s="248"/>
      <c r="E300" s="214"/>
      <c r="F300" s="167">
        <f t="shared" si="23"/>
        <v>0</v>
      </c>
    </row>
    <row r="301" spans="1:6" ht="33.75" hidden="1" customHeight="1">
      <c r="A301" s="215"/>
      <c r="B301" s="222" t="s">
        <v>361</v>
      </c>
      <c r="C301" s="224" t="s">
        <v>254</v>
      </c>
      <c r="D301" s="248"/>
      <c r="E301" s="214"/>
      <c r="F301" s="167">
        <f t="shared" si="23"/>
        <v>0</v>
      </c>
    </row>
    <row r="302" spans="1:6" ht="18" hidden="1" customHeight="1">
      <c r="A302" s="215"/>
      <c r="B302" s="460"/>
      <c r="C302" s="235">
        <v>55</v>
      </c>
      <c r="D302" s="248"/>
      <c r="E302" s="214"/>
      <c r="F302" s="167">
        <f t="shared" si="23"/>
        <v>0</v>
      </c>
    </row>
    <row r="303" spans="1:6" ht="18" hidden="1" customHeight="1">
      <c r="A303" s="219" t="s">
        <v>160</v>
      </c>
      <c r="B303" s="460"/>
      <c r="C303" s="224" t="s">
        <v>67</v>
      </c>
      <c r="D303" s="248"/>
      <c r="E303" s="214"/>
      <c r="F303" s="167">
        <f t="shared" si="23"/>
        <v>0</v>
      </c>
    </row>
    <row r="304" spans="1:6" ht="18" hidden="1" customHeight="1">
      <c r="A304" s="219"/>
      <c r="B304" s="220" t="s">
        <v>362</v>
      </c>
      <c r="C304" s="224" t="s">
        <v>256</v>
      </c>
      <c r="D304" s="248"/>
      <c r="E304" s="214"/>
      <c r="F304" s="167">
        <f t="shared" si="23"/>
        <v>0</v>
      </c>
    </row>
    <row r="305" spans="1:6" ht="18" hidden="1" customHeight="1">
      <c r="A305" s="219"/>
      <c r="B305" s="220" t="s">
        <v>285</v>
      </c>
      <c r="C305" s="224" t="s">
        <v>258</v>
      </c>
      <c r="D305" s="248"/>
      <c r="E305" s="214"/>
      <c r="F305" s="167">
        <f t="shared" si="23"/>
        <v>0</v>
      </c>
    </row>
    <row r="306" spans="1:6" ht="18" hidden="1" customHeight="1">
      <c r="A306" s="223"/>
      <c r="B306" s="220" t="s">
        <v>259</v>
      </c>
      <c r="C306" s="224" t="s">
        <v>260</v>
      </c>
      <c r="D306" s="248"/>
      <c r="E306" s="214"/>
      <c r="F306" s="167">
        <f t="shared" si="23"/>
        <v>0</v>
      </c>
    </row>
    <row r="307" spans="1:6" ht="18" hidden="1" customHeight="1">
      <c r="A307" s="223"/>
      <c r="B307" s="218" t="s">
        <v>624</v>
      </c>
      <c r="C307" s="224" t="s">
        <v>625</v>
      </c>
      <c r="D307" s="248"/>
      <c r="E307" s="214"/>
      <c r="F307" s="167">
        <f t="shared" si="23"/>
        <v>0</v>
      </c>
    </row>
    <row r="308" spans="1:6" ht="18" hidden="1" customHeight="1">
      <c r="A308" s="215" t="s">
        <v>613</v>
      </c>
      <c r="B308" s="396"/>
      <c r="C308" s="235">
        <v>59</v>
      </c>
      <c r="D308" s="248">
        <f>D1142</f>
        <v>0</v>
      </c>
      <c r="E308" s="214">
        <f>E1142</f>
        <v>0</v>
      </c>
      <c r="F308" s="369">
        <f>F1142</f>
        <v>0</v>
      </c>
    </row>
    <row r="309" spans="1:6" ht="18" customHeight="1">
      <c r="A309" s="240" t="s">
        <v>915</v>
      </c>
      <c r="B309" s="474"/>
      <c r="C309" s="224">
        <v>70</v>
      </c>
      <c r="D309" s="248">
        <f>D310</f>
        <v>210</v>
      </c>
      <c r="E309" s="214">
        <f>E310</f>
        <v>0</v>
      </c>
      <c r="F309" s="167">
        <f t="shared" ref="F309:F340" si="24">D309+E309</f>
        <v>210</v>
      </c>
    </row>
    <row r="310" spans="1:6" ht="18" customHeight="1">
      <c r="A310" s="226" t="s">
        <v>1016</v>
      </c>
      <c r="B310" s="474"/>
      <c r="C310" s="224">
        <v>71</v>
      </c>
      <c r="D310" s="248">
        <f>D1967</f>
        <v>210</v>
      </c>
      <c r="E310" s="214">
        <f>E1967</f>
        <v>0</v>
      </c>
      <c r="F310" s="167">
        <f t="shared" si="24"/>
        <v>210</v>
      </c>
    </row>
    <row r="311" spans="1:6" ht="18" hidden="1" customHeight="1">
      <c r="A311" s="219" t="s">
        <v>110</v>
      </c>
      <c r="B311" s="474"/>
      <c r="C311" s="224" t="s">
        <v>80</v>
      </c>
      <c r="D311" s="248"/>
      <c r="E311" s="214"/>
      <c r="F311" s="167">
        <f t="shared" si="24"/>
        <v>0</v>
      </c>
    </row>
    <row r="312" spans="1:6" ht="18" hidden="1" customHeight="1">
      <c r="A312" s="219"/>
      <c r="B312" s="218" t="s">
        <v>81</v>
      </c>
      <c r="C312" s="241" t="s">
        <v>82</v>
      </c>
      <c r="D312" s="248"/>
      <c r="E312" s="214"/>
      <c r="F312" s="167">
        <f t="shared" si="24"/>
        <v>0</v>
      </c>
    </row>
    <row r="313" spans="1:6" ht="18" hidden="1" customHeight="1">
      <c r="A313" s="219"/>
      <c r="B313" s="220" t="s">
        <v>83</v>
      </c>
      <c r="C313" s="241" t="s">
        <v>84</v>
      </c>
      <c r="D313" s="248"/>
      <c r="E313" s="214"/>
      <c r="F313" s="167">
        <f t="shared" si="24"/>
        <v>0</v>
      </c>
    </row>
    <row r="314" spans="1:6" ht="18" hidden="1" customHeight="1">
      <c r="A314" s="219"/>
      <c r="B314" s="220" t="s">
        <v>94</v>
      </c>
      <c r="C314" s="241" t="s">
        <v>86</v>
      </c>
      <c r="D314" s="248"/>
      <c r="E314" s="214"/>
      <c r="F314" s="167">
        <f t="shared" si="24"/>
        <v>0</v>
      </c>
    </row>
    <row r="315" spans="1:6" ht="18" hidden="1" customHeight="1">
      <c r="A315" s="219"/>
      <c r="B315" s="220" t="s">
        <v>87</v>
      </c>
      <c r="C315" s="241" t="s">
        <v>88</v>
      </c>
      <c r="D315" s="248"/>
      <c r="E315" s="214"/>
      <c r="F315" s="167">
        <f t="shared" si="24"/>
        <v>0</v>
      </c>
    </row>
    <row r="316" spans="1:6" ht="18" hidden="1" customHeight="1">
      <c r="A316" s="526" t="s">
        <v>268</v>
      </c>
      <c r="B316" s="529"/>
      <c r="C316" s="241" t="s">
        <v>269</v>
      </c>
      <c r="D316" s="248"/>
      <c r="E316" s="214"/>
      <c r="F316" s="167">
        <f t="shared" si="24"/>
        <v>0</v>
      </c>
    </row>
    <row r="317" spans="1:6" ht="18" hidden="1" customHeight="1">
      <c r="A317" s="215"/>
      <c r="B317" s="220"/>
      <c r="C317" s="224">
        <v>79</v>
      </c>
      <c r="D317" s="248"/>
      <c r="E317" s="214"/>
      <c r="F317" s="167">
        <f t="shared" si="24"/>
        <v>0</v>
      </c>
    </row>
    <row r="318" spans="1:6" ht="18" hidden="1" customHeight="1">
      <c r="A318" s="219"/>
      <c r="B318" s="220"/>
      <c r="C318" s="224">
        <v>81</v>
      </c>
      <c r="D318" s="248"/>
      <c r="E318" s="214"/>
      <c r="F318" s="167">
        <f t="shared" si="24"/>
        <v>0</v>
      </c>
    </row>
    <row r="319" spans="1:6" ht="18" hidden="1" customHeight="1">
      <c r="A319" s="206" t="s">
        <v>287</v>
      </c>
      <c r="B319" s="220"/>
      <c r="C319" s="224" t="s">
        <v>279</v>
      </c>
      <c r="D319" s="248"/>
      <c r="E319" s="214"/>
      <c r="F319" s="167">
        <f t="shared" si="24"/>
        <v>0</v>
      </c>
    </row>
    <row r="320" spans="1:6" ht="18" customHeight="1">
      <c r="A320" s="206"/>
      <c r="B320" s="220" t="s">
        <v>318</v>
      </c>
      <c r="C320" s="224">
        <v>85</v>
      </c>
      <c r="D320" s="248">
        <f>D321</f>
        <v>-2.14</v>
      </c>
      <c r="E320" s="214">
        <f>E321</f>
        <v>0</v>
      </c>
      <c r="F320" s="167">
        <f t="shared" si="24"/>
        <v>-2.14</v>
      </c>
    </row>
    <row r="321" spans="1:6" ht="18" customHeight="1">
      <c r="A321" s="206"/>
      <c r="B321" s="220" t="s">
        <v>311</v>
      </c>
      <c r="C321" s="224" t="s">
        <v>312</v>
      </c>
      <c r="D321" s="248">
        <f>D1155</f>
        <v>-2.14</v>
      </c>
      <c r="E321" s="214">
        <f>E1155</f>
        <v>0</v>
      </c>
      <c r="F321" s="167">
        <f t="shared" si="24"/>
        <v>-2.14</v>
      </c>
    </row>
    <row r="322" spans="1:6" ht="18.75" hidden="1" customHeight="1">
      <c r="A322" s="242"/>
      <c r="B322" s="243"/>
      <c r="C322" s="224"/>
      <c r="D322" s="248"/>
      <c r="E322" s="214"/>
      <c r="F322" s="167">
        <f t="shared" si="24"/>
        <v>0</v>
      </c>
    </row>
    <row r="323" spans="1:6" ht="18" hidden="1" customHeight="1">
      <c r="A323" s="249" t="s">
        <v>363</v>
      </c>
      <c r="B323" s="245"/>
      <c r="C323" s="224" t="s">
        <v>364</v>
      </c>
      <c r="D323" s="248">
        <f>D1157+D1980</f>
        <v>0</v>
      </c>
      <c r="E323" s="214">
        <f>E1157+E1980</f>
        <v>0</v>
      </c>
      <c r="F323" s="167">
        <f t="shared" si="24"/>
        <v>0</v>
      </c>
    </row>
    <row r="324" spans="1:6" ht="18" hidden="1" customHeight="1">
      <c r="A324" s="236" t="s">
        <v>365</v>
      </c>
      <c r="B324" s="245"/>
      <c r="C324" s="224" t="s">
        <v>366</v>
      </c>
      <c r="D324" s="248"/>
      <c r="E324" s="214"/>
      <c r="F324" s="167">
        <f t="shared" si="24"/>
        <v>0</v>
      </c>
    </row>
    <row r="325" spans="1:6" ht="18" hidden="1" customHeight="1">
      <c r="A325" s="537" t="s">
        <v>367</v>
      </c>
      <c r="B325" s="529"/>
      <c r="C325" s="224" t="s">
        <v>368</v>
      </c>
      <c r="D325" s="248"/>
      <c r="E325" s="214"/>
      <c r="F325" s="167">
        <f t="shared" si="24"/>
        <v>0</v>
      </c>
    </row>
    <row r="326" spans="1:6" ht="18" customHeight="1">
      <c r="A326" s="236" t="s">
        <v>564</v>
      </c>
      <c r="B326" s="245"/>
      <c r="C326" s="224" t="s">
        <v>565</v>
      </c>
      <c r="D326" s="248">
        <f>D1160+D1983</f>
        <v>3751.36</v>
      </c>
      <c r="E326" s="214">
        <f>E1160+E1983</f>
        <v>0</v>
      </c>
      <c r="F326" s="167">
        <f t="shared" si="24"/>
        <v>3751.36</v>
      </c>
    </row>
    <row r="327" spans="1:6" ht="18" customHeight="1">
      <c r="A327" s="244" t="s">
        <v>369</v>
      </c>
      <c r="B327" s="218"/>
      <c r="C327" s="224" t="s">
        <v>370</v>
      </c>
      <c r="D327" s="248">
        <f>D1161</f>
        <v>105.5</v>
      </c>
      <c r="E327" s="214">
        <f>E1161</f>
        <v>0</v>
      </c>
      <c r="F327" s="167">
        <f t="shared" si="24"/>
        <v>105.5</v>
      </c>
    </row>
    <row r="328" spans="1:6" ht="18.75" hidden="1" customHeight="1">
      <c r="A328" s="250"/>
      <c r="B328" s="243"/>
      <c r="C328" s="224"/>
      <c r="D328" s="248"/>
      <c r="E328" s="214"/>
      <c r="F328" s="167">
        <f t="shared" si="24"/>
        <v>0</v>
      </c>
    </row>
    <row r="329" spans="1:6" s="142" customFormat="1" ht="20.25">
      <c r="A329" s="251"/>
      <c r="B329" s="252" t="s">
        <v>101</v>
      </c>
      <c r="C329" s="202" t="s">
        <v>566</v>
      </c>
      <c r="D329" s="350">
        <f>D330</f>
        <v>12072</v>
      </c>
      <c r="E329" s="409">
        <f>E330</f>
        <v>0</v>
      </c>
      <c r="F329" s="167">
        <f t="shared" si="24"/>
        <v>12072</v>
      </c>
    </row>
    <row r="330" spans="1:6" ht="18" customHeight="1">
      <c r="A330" s="253" t="s">
        <v>916</v>
      </c>
      <c r="B330" s="245"/>
      <c r="C330" s="235" t="s">
        <v>49</v>
      </c>
      <c r="D330" s="367">
        <f>D331+D333</f>
        <v>12072</v>
      </c>
      <c r="E330" s="414">
        <f>E331+E333</f>
        <v>0</v>
      </c>
      <c r="F330" s="167">
        <f t="shared" si="24"/>
        <v>12072</v>
      </c>
    </row>
    <row r="331" spans="1:6" ht="18" customHeight="1">
      <c r="A331" s="206" t="s">
        <v>371</v>
      </c>
      <c r="B331" s="474"/>
      <c r="C331" s="224">
        <v>20</v>
      </c>
      <c r="D331" s="248">
        <f>D1165</f>
        <v>4</v>
      </c>
      <c r="E331" s="214">
        <f>E1165</f>
        <v>0</v>
      </c>
      <c r="F331" s="167">
        <f t="shared" si="24"/>
        <v>4</v>
      </c>
    </row>
    <row r="332" spans="1:6" ht="18" customHeight="1">
      <c r="A332" s="253"/>
      <c r="B332" s="475" t="s">
        <v>1067</v>
      </c>
      <c r="C332" s="224" t="s">
        <v>241</v>
      </c>
      <c r="D332" s="248">
        <f>D1166</f>
        <v>4</v>
      </c>
      <c r="E332" s="214">
        <f>E1166</f>
        <v>0</v>
      </c>
      <c r="F332" s="167">
        <f t="shared" si="24"/>
        <v>4</v>
      </c>
    </row>
    <row r="333" spans="1:6" ht="18" customHeight="1">
      <c r="A333" s="253" t="s">
        <v>615</v>
      </c>
      <c r="B333" s="245"/>
      <c r="C333" s="235">
        <v>30</v>
      </c>
      <c r="D333" s="367">
        <f>D334+D335+D336</f>
        <v>12068</v>
      </c>
      <c r="E333" s="414">
        <f>E334+E335+E336</f>
        <v>0</v>
      </c>
      <c r="F333" s="167">
        <f t="shared" si="24"/>
        <v>12068</v>
      </c>
    </row>
    <row r="334" spans="1:6" ht="18" customHeight="1">
      <c r="A334" s="206" t="s">
        <v>102</v>
      </c>
      <c r="B334" s="474"/>
      <c r="C334" s="254" t="s">
        <v>51</v>
      </c>
      <c r="D334" s="248">
        <f>D1168</f>
        <v>12068</v>
      </c>
      <c r="E334" s="214">
        <f>E1168</f>
        <v>0</v>
      </c>
      <c r="F334" s="167">
        <f t="shared" si="24"/>
        <v>12068</v>
      </c>
    </row>
    <row r="335" spans="1:6" ht="18" hidden="1" customHeight="1">
      <c r="A335" s="206" t="s">
        <v>372</v>
      </c>
      <c r="B335" s="474"/>
      <c r="C335" s="235" t="s">
        <v>513</v>
      </c>
      <c r="D335" s="248"/>
      <c r="E335" s="214"/>
      <c r="F335" s="167">
        <f t="shared" si="24"/>
        <v>0</v>
      </c>
    </row>
    <row r="336" spans="1:6" ht="18" hidden="1" customHeight="1">
      <c r="A336" s="216" t="s">
        <v>373</v>
      </c>
      <c r="B336" s="474"/>
      <c r="C336" s="235" t="s">
        <v>244</v>
      </c>
      <c r="D336" s="248"/>
      <c r="E336" s="214"/>
      <c r="F336" s="167">
        <f t="shared" si="24"/>
        <v>0</v>
      </c>
    </row>
    <row r="337" spans="1:6" ht="18" hidden="1" customHeight="1">
      <c r="A337" s="216"/>
      <c r="B337" s="474"/>
      <c r="C337" s="235"/>
      <c r="D337" s="248"/>
      <c r="E337" s="214"/>
      <c r="F337" s="167">
        <f t="shared" si="24"/>
        <v>0</v>
      </c>
    </row>
    <row r="338" spans="1:6" ht="18.75" hidden="1" customHeight="1">
      <c r="A338" s="255"/>
      <c r="B338" s="256" t="s">
        <v>103</v>
      </c>
      <c r="C338" s="202" t="s">
        <v>104</v>
      </c>
      <c r="D338" s="248"/>
      <c r="E338" s="214"/>
      <c r="F338" s="167">
        <f t="shared" si="24"/>
        <v>0</v>
      </c>
    </row>
    <row r="339" spans="1:6" ht="18" hidden="1" customHeight="1">
      <c r="A339" s="247" t="s">
        <v>916</v>
      </c>
      <c r="B339" s="474"/>
      <c r="C339" s="235" t="s">
        <v>49</v>
      </c>
      <c r="D339" s="248"/>
      <c r="E339" s="214"/>
      <c r="F339" s="167">
        <f t="shared" si="24"/>
        <v>0</v>
      </c>
    </row>
    <row r="340" spans="1:6" ht="18" hidden="1" customHeight="1">
      <c r="A340" s="219" t="s">
        <v>54</v>
      </c>
      <c r="B340" s="474"/>
      <c r="C340" s="235" t="s">
        <v>592</v>
      </c>
      <c r="D340" s="248"/>
      <c r="E340" s="214"/>
      <c r="F340" s="167">
        <f t="shared" si="24"/>
        <v>0</v>
      </c>
    </row>
    <row r="341" spans="1:6" ht="18" hidden="1" customHeight="1">
      <c r="A341" s="219"/>
      <c r="B341" s="474" t="s">
        <v>55</v>
      </c>
      <c r="C341" s="224" t="s">
        <v>56</v>
      </c>
      <c r="D341" s="248"/>
      <c r="E341" s="214"/>
      <c r="F341" s="167">
        <f t="shared" ref="F341:F366" si="25">D341+E341</f>
        <v>0</v>
      </c>
    </row>
    <row r="342" spans="1:6" ht="36" hidden="1" customHeight="1">
      <c r="A342" s="257"/>
      <c r="B342" s="222" t="s">
        <v>374</v>
      </c>
      <c r="C342" s="224" t="s">
        <v>249</v>
      </c>
      <c r="D342" s="248"/>
      <c r="E342" s="214"/>
      <c r="F342" s="167">
        <f t="shared" si="25"/>
        <v>0</v>
      </c>
    </row>
    <row r="343" spans="1:6" ht="36" hidden="1" customHeight="1">
      <c r="A343" s="257"/>
      <c r="B343" s="222" t="s">
        <v>375</v>
      </c>
      <c r="C343" s="224" t="s">
        <v>251</v>
      </c>
      <c r="D343" s="248"/>
      <c r="E343" s="214"/>
      <c r="F343" s="167">
        <f t="shared" si="25"/>
        <v>0</v>
      </c>
    </row>
    <row r="344" spans="1:6" ht="36" hidden="1" customHeight="1">
      <c r="A344" s="257"/>
      <c r="B344" s="220" t="s">
        <v>106</v>
      </c>
      <c r="C344" s="224" t="s">
        <v>62</v>
      </c>
      <c r="D344" s="248"/>
      <c r="E344" s="214"/>
      <c r="F344" s="167">
        <f t="shared" si="25"/>
        <v>0</v>
      </c>
    </row>
    <row r="345" spans="1:6" ht="20.25" hidden="1">
      <c r="A345" s="242"/>
      <c r="B345" s="243"/>
      <c r="C345" s="224"/>
      <c r="D345" s="248"/>
      <c r="E345" s="214"/>
      <c r="F345" s="167">
        <f t="shared" si="25"/>
        <v>0</v>
      </c>
    </row>
    <row r="346" spans="1:6" ht="18" hidden="1" customHeight="1">
      <c r="A346" s="537" t="s">
        <v>376</v>
      </c>
      <c r="B346" s="529"/>
      <c r="C346" s="224" t="s">
        <v>377</v>
      </c>
      <c r="D346" s="248"/>
      <c r="E346" s="214"/>
      <c r="F346" s="167">
        <f t="shared" si="25"/>
        <v>0</v>
      </c>
    </row>
    <row r="347" spans="1:6" ht="18" hidden="1" customHeight="1">
      <c r="A347" s="537" t="s">
        <v>378</v>
      </c>
      <c r="B347" s="529"/>
      <c r="C347" s="224" t="s">
        <v>379</v>
      </c>
      <c r="D347" s="248"/>
      <c r="E347" s="214"/>
      <c r="F347" s="167">
        <f t="shared" si="25"/>
        <v>0</v>
      </c>
    </row>
    <row r="348" spans="1:6" ht="20.25" hidden="1">
      <c r="A348" s="537" t="s">
        <v>107</v>
      </c>
      <c r="B348" s="529"/>
      <c r="C348" s="224" t="s">
        <v>634</v>
      </c>
      <c r="D348" s="248"/>
      <c r="E348" s="214"/>
      <c r="F348" s="167">
        <f t="shared" si="25"/>
        <v>0</v>
      </c>
    </row>
    <row r="349" spans="1:6" ht="12" hidden="1" customHeight="1">
      <c r="A349" s="246"/>
      <c r="B349" s="474"/>
      <c r="C349" s="224"/>
      <c r="D349" s="248"/>
      <c r="E349" s="214"/>
      <c r="F349" s="167">
        <f t="shared" si="25"/>
        <v>0</v>
      </c>
    </row>
    <row r="350" spans="1:6" ht="18.75" hidden="1" customHeight="1">
      <c r="A350" s="258"/>
      <c r="B350" s="217"/>
      <c r="C350" s="224" t="s">
        <v>108</v>
      </c>
      <c r="D350" s="248"/>
      <c r="E350" s="214"/>
      <c r="F350" s="167">
        <f t="shared" si="25"/>
        <v>0</v>
      </c>
    </row>
    <row r="351" spans="1:6" ht="18.75" hidden="1" customHeight="1">
      <c r="A351" s="255"/>
      <c r="B351" s="259"/>
      <c r="C351" s="224" t="s">
        <v>380</v>
      </c>
      <c r="D351" s="248"/>
      <c r="E351" s="214"/>
      <c r="F351" s="167">
        <f t="shared" si="25"/>
        <v>0</v>
      </c>
    </row>
    <row r="352" spans="1:6" ht="18" hidden="1" customHeight="1">
      <c r="A352" s="231"/>
      <c r="B352" s="474"/>
      <c r="C352" s="235" t="s">
        <v>49</v>
      </c>
      <c r="D352" s="248"/>
      <c r="E352" s="214"/>
      <c r="F352" s="167">
        <f t="shared" si="25"/>
        <v>0</v>
      </c>
    </row>
    <row r="353" spans="1:6" ht="18" hidden="1" customHeight="1">
      <c r="A353" s="246"/>
      <c r="B353" s="474"/>
      <c r="C353" s="235">
        <v>10</v>
      </c>
      <c r="D353" s="248"/>
      <c r="E353" s="214"/>
      <c r="F353" s="167">
        <f t="shared" si="25"/>
        <v>0</v>
      </c>
    </row>
    <row r="354" spans="1:6" ht="18" hidden="1" customHeight="1">
      <c r="A354" s="246"/>
      <c r="B354" s="474"/>
      <c r="C354" s="224">
        <v>20</v>
      </c>
      <c r="D354" s="248"/>
      <c r="E354" s="214"/>
      <c r="F354" s="167">
        <f t="shared" si="25"/>
        <v>0</v>
      </c>
    </row>
    <row r="355" spans="1:6" ht="18" hidden="1" customHeight="1">
      <c r="A355" s="231"/>
      <c r="B355" s="474"/>
      <c r="C355" s="224">
        <v>70</v>
      </c>
      <c r="D355" s="248"/>
      <c r="E355" s="214"/>
      <c r="F355" s="167">
        <f t="shared" si="25"/>
        <v>0</v>
      </c>
    </row>
    <row r="356" spans="1:6" ht="18" hidden="1" customHeight="1">
      <c r="A356" s="238"/>
      <c r="B356" s="474"/>
      <c r="C356" s="224">
        <v>71</v>
      </c>
      <c r="D356" s="248"/>
      <c r="E356" s="214"/>
      <c r="F356" s="167">
        <f t="shared" si="25"/>
        <v>0</v>
      </c>
    </row>
    <row r="357" spans="1:6" ht="18" hidden="1" customHeight="1">
      <c r="A357" s="219" t="s">
        <v>110</v>
      </c>
      <c r="B357" s="474"/>
      <c r="C357" s="224" t="s">
        <v>80</v>
      </c>
      <c r="D357" s="248"/>
      <c r="E357" s="214"/>
      <c r="F357" s="167">
        <f t="shared" si="25"/>
        <v>0</v>
      </c>
    </row>
    <row r="358" spans="1:6" ht="18" hidden="1" customHeight="1">
      <c r="A358" s="219"/>
      <c r="B358" s="218" t="s">
        <v>81</v>
      </c>
      <c r="C358" s="241" t="s">
        <v>82</v>
      </c>
      <c r="D358" s="248"/>
      <c r="E358" s="214"/>
      <c r="F358" s="167">
        <f t="shared" si="25"/>
        <v>0</v>
      </c>
    </row>
    <row r="359" spans="1:6" ht="18" hidden="1" customHeight="1">
      <c r="A359" s="219"/>
      <c r="B359" s="220" t="s">
        <v>83</v>
      </c>
      <c r="C359" s="241" t="s">
        <v>84</v>
      </c>
      <c r="D359" s="248"/>
      <c r="E359" s="214"/>
      <c r="F359" s="167">
        <f t="shared" si="25"/>
        <v>0</v>
      </c>
    </row>
    <row r="360" spans="1:6" ht="18" hidden="1" customHeight="1">
      <c r="A360" s="219"/>
      <c r="B360" s="220" t="s">
        <v>94</v>
      </c>
      <c r="C360" s="241" t="s">
        <v>86</v>
      </c>
      <c r="D360" s="248"/>
      <c r="E360" s="214"/>
      <c r="F360" s="167">
        <f t="shared" si="25"/>
        <v>0</v>
      </c>
    </row>
    <row r="361" spans="1:6" ht="18" hidden="1" customHeight="1">
      <c r="A361" s="219"/>
      <c r="B361" s="220" t="s">
        <v>87</v>
      </c>
      <c r="C361" s="241" t="s">
        <v>88</v>
      </c>
      <c r="D361" s="248"/>
      <c r="E361" s="214"/>
      <c r="F361" s="167">
        <f t="shared" si="25"/>
        <v>0</v>
      </c>
    </row>
    <row r="362" spans="1:6" ht="18" hidden="1" customHeight="1">
      <c r="A362" s="526" t="s">
        <v>268</v>
      </c>
      <c r="B362" s="529"/>
      <c r="C362" s="241" t="s">
        <v>269</v>
      </c>
      <c r="D362" s="248"/>
      <c r="E362" s="214"/>
      <c r="F362" s="167">
        <f t="shared" si="25"/>
        <v>0</v>
      </c>
    </row>
    <row r="363" spans="1:6" ht="18.75" hidden="1" customHeight="1">
      <c r="A363" s="242"/>
      <c r="B363" s="243"/>
      <c r="C363" s="224"/>
      <c r="D363" s="248"/>
      <c r="E363" s="214"/>
      <c r="F363" s="167">
        <f t="shared" si="25"/>
        <v>0</v>
      </c>
    </row>
    <row r="364" spans="1:6" ht="18" hidden="1" customHeight="1">
      <c r="A364" s="244" t="s">
        <v>381</v>
      </c>
      <c r="B364" s="245"/>
      <c r="C364" s="224" t="s">
        <v>382</v>
      </c>
      <c r="D364" s="248"/>
      <c r="E364" s="214"/>
      <c r="F364" s="167">
        <f t="shared" si="25"/>
        <v>0</v>
      </c>
    </row>
    <row r="365" spans="1:6" ht="18" hidden="1" customHeight="1">
      <c r="A365" s="246"/>
      <c r="B365" s="474"/>
      <c r="C365" s="224"/>
      <c r="D365" s="248"/>
      <c r="E365" s="214"/>
      <c r="F365" s="167">
        <f t="shared" si="25"/>
        <v>0</v>
      </c>
    </row>
    <row r="366" spans="1:6" ht="20.25">
      <c r="A366" s="255"/>
      <c r="B366" s="260" t="s">
        <v>109</v>
      </c>
      <c r="C366" s="202" t="s">
        <v>567</v>
      </c>
      <c r="D366" s="350">
        <f>D387+D389+D390</f>
        <v>22401.21</v>
      </c>
      <c r="E366" s="409">
        <f>E387+E389+E390</f>
        <v>0</v>
      </c>
      <c r="F366" s="167">
        <f t="shared" si="25"/>
        <v>22401.21</v>
      </c>
    </row>
    <row r="367" spans="1:6" ht="18" customHeight="1">
      <c r="A367" s="219" t="s">
        <v>917</v>
      </c>
      <c r="B367" s="474"/>
      <c r="C367" s="235" t="s">
        <v>49</v>
      </c>
      <c r="D367" s="367">
        <f>D368+D369+D370+D374+D375</f>
        <v>16901</v>
      </c>
      <c r="E367" s="414">
        <f>E368+E369+E370+E374+E375</f>
        <v>0</v>
      </c>
      <c r="F367" s="368">
        <f>F368+F369+F370+F374+F375</f>
        <v>16901</v>
      </c>
    </row>
    <row r="368" spans="1:6" ht="18" customHeight="1">
      <c r="A368" s="204" t="s">
        <v>561</v>
      </c>
      <c r="B368" s="474"/>
      <c r="C368" s="235">
        <v>10</v>
      </c>
      <c r="D368" s="248">
        <f>D1202</f>
        <v>15309</v>
      </c>
      <c r="E368" s="214">
        <f>E1202</f>
        <v>0</v>
      </c>
      <c r="F368" s="167">
        <f t="shared" ref="F368:F374" si="26">D368+E368</f>
        <v>15309</v>
      </c>
    </row>
    <row r="369" spans="1:6" ht="18" customHeight="1">
      <c r="A369" s="206" t="s">
        <v>562</v>
      </c>
      <c r="B369" s="474"/>
      <c r="C369" s="224">
        <v>20</v>
      </c>
      <c r="D369" s="248">
        <f>D1203</f>
        <v>1592</v>
      </c>
      <c r="E369" s="214">
        <f>E1203</f>
        <v>0</v>
      </c>
      <c r="F369" s="167">
        <f t="shared" si="26"/>
        <v>1592</v>
      </c>
    </row>
    <row r="370" spans="1:6" ht="18" hidden="1" customHeight="1">
      <c r="A370" s="219" t="s">
        <v>304</v>
      </c>
      <c r="B370" s="474"/>
      <c r="C370" s="235">
        <v>55</v>
      </c>
      <c r="D370" s="367">
        <f>D371</f>
        <v>0</v>
      </c>
      <c r="E370" s="414">
        <f>E371</f>
        <v>0</v>
      </c>
      <c r="F370" s="167">
        <f t="shared" si="26"/>
        <v>0</v>
      </c>
    </row>
    <row r="371" spans="1:6" ht="18" hidden="1" customHeight="1">
      <c r="A371" s="215"/>
      <c r="B371" s="474" t="s">
        <v>348</v>
      </c>
      <c r="C371" s="224" t="s">
        <v>67</v>
      </c>
      <c r="D371" s="367">
        <f>D372</f>
        <v>0</v>
      </c>
      <c r="E371" s="414">
        <f>E372</f>
        <v>0</v>
      </c>
      <c r="F371" s="167">
        <f t="shared" si="26"/>
        <v>0</v>
      </c>
    </row>
    <row r="372" spans="1:6" ht="18" hidden="1" customHeight="1">
      <c r="A372" s="215"/>
      <c r="B372" s="222" t="s">
        <v>624</v>
      </c>
      <c r="C372" s="224" t="s">
        <v>625</v>
      </c>
      <c r="D372" s="248"/>
      <c r="E372" s="214"/>
      <c r="F372" s="167">
        <f t="shared" si="26"/>
        <v>0</v>
      </c>
    </row>
    <row r="373" spans="1:6" ht="18" customHeight="1">
      <c r="A373" s="546" t="s">
        <v>1065</v>
      </c>
      <c r="B373" s="529"/>
      <c r="C373" s="224">
        <v>56</v>
      </c>
      <c r="D373" s="248">
        <f>D2030</f>
        <v>3180</v>
      </c>
      <c r="E373" s="214">
        <f>E2030</f>
        <v>0</v>
      </c>
      <c r="F373" s="167">
        <f t="shared" si="26"/>
        <v>3180</v>
      </c>
    </row>
    <row r="374" spans="1:6" ht="20.25" hidden="1">
      <c r="A374" s="551" t="s">
        <v>890</v>
      </c>
      <c r="B374" s="529"/>
      <c r="C374" s="235">
        <v>58</v>
      </c>
      <c r="D374" s="248">
        <f>D2031</f>
        <v>0</v>
      </c>
      <c r="E374" s="214">
        <f>E2031</f>
        <v>0</v>
      </c>
      <c r="F374" s="167">
        <f t="shared" si="26"/>
        <v>0</v>
      </c>
    </row>
    <row r="375" spans="1:6" ht="20.25" hidden="1">
      <c r="A375" s="215" t="s">
        <v>659</v>
      </c>
      <c r="B375" s="396"/>
      <c r="C375" s="235">
        <v>59</v>
      </c>
      <c r="D375" s="248">
        <f>D1207</f>
        <v>0</v>
      </c>
      <c r="E375" s="214">
        <f>E1207</f>
        <v>0</v>
      </c>
      <c r="F375" s="370">
        <f>F1207</f>
        <v>0</v>
      </c>
    </row>
    <row r="376" spans="1:6" ht="18" customHeight="1">
      <c r="A376" s="261" t="s">
        <v>918</v>
      </c>
      <c r="B376" s="474"/>
      <c r="C376" s="224">
        <v>70</v>
      </c>
      <c r="D376" s="367">
        <f>D377</f>
        <v>2338</v>
      </c>
      <c r="E376" s="414">
        <f>E377</f>
        <v>0</v>
      </c>
      <c r="F376" s="167">
        <f t="shared" ref="F376:F394" si="27">D376+E376</f>
        <v>2338</v>
      </c>
    </row>
    <row r="377" spans="1:6" ht="18" customHeight="1">
      <c r="A377" s="226" t="s">
        <v>1017</v>
      </c>
      <c r="B377" s="474"/>
      <c r="C377" s="224">
        <v>71</v>
      </c>
      <c r="D377" s="248">
        <f>D2033</f>
        <v>2338</v>
      </c>
      <c r="E377" s="214">
        <f>E2033</f>
        <v>0</v>
      </c>
      <c r="F377" s="167">
        <f t="shared" si="27"/>
        <v>2338</v>
      </c>
    </row>
    <row r="378" spans="1:6" ht="18" hidden="1" customHeight="1">
      <c r="A378" s="219" t="s">
        <v>110</v>
      </c>
      <c r="B378" s="474"/>
      <c r="C378" s="224" t="s">
        <v>80</v>
      </c>
      <c r="D378" s="248"/>
      <c r="E378" s="214"/>
      <c r="F378" s="167">
        <f t="shared" si="27"/>
        <v>0</v>
      </c>
    </row>
    <row r="379" spans="1:6" ht="18" hidden="1" customHeight="1">
      <c r="A379" s="219"/>
      <c r="B379" s="218" t="s">
        <v>81</v>
      </c>
      <c r="C379" s="241" t="s">
        <v>82</v>
      </c>
      <c r="D379" s="248"/>
      <c r="E379" s="214"/>
      <c r="F379" s="167">
        <f t="shared" si="27"/>
        <v>0</v>
      </c>
    </row>
    <row r="380" spans="1:6" ht="18" hidden="1" customHeight="1">
      <c r="A380" s="219"/>
      <c r="B380" s="220" t="s">
        <v>83</v>
      </c>
      <c r="C380" s="241" t="s">
        <v>84</v>
      </c>
      <c r="D380" s="248"/>
      <c r="E380" s="214"/>
      <c r="F380" s="167">
        <f t="shared" si="27"/>
        <v>0</v>
      </c>
    </row>
    <row r="381" spans="1:6" ht="18" hidden="1" customHeight="1">
      <c r="A381" s="219"/>
      <c r="B381" s="220" t="s">
        <v>94</v>
      </c>
      <c r="C381" s="241" t="s">
        <v>86</v>
      </c>
      <c r="D381" s="248"/>
      <c r="E381" s="214"/>
      <c r="F381" s="167">
        <f t="shared" si="27"/>
        <v>0</v>
      </c>
    </row>
    <row r="382" spans="1:6" ht="18" hidden="1" customHeight="1">
      <c r="A382" s="219"/>
      <c r="B382" s="220" t="s">
        <v>87</v>
      </c>
      <c r="C382" s="241" t="s">
        <v>88</v>
      </c>
      <c r="D382" s="248"/>
      <c r="E382" s="214"/>
      <c r="F382" s="167">
        <f t="shared" si="27"/>
        <v>0</v>
      </c>
    </row>
    <row r="383" spans="1:6" ht="18" hidden="1" customHeight="1">
      <c r="A383" s="526" t="s">
        <v>268</v>
      </c>
      <c r="B383" s="529"/>
      <c r="C383" s="241" t="s">
        <v>269</v>
      </c>
      <c r="D383" s="248"/>
      <c r="E383" s="214"/>
      <c r="F383" s="167">
        <f t="shared" si="27"/>
        <v>0</v>
      </c>
    </row>
    <row r="384" spans="1:6" ht="18" customHeight="1">
      <c r="A384" s="526" t="s">
        <v>1015</v>
      </c>
      <c r="B384" s="529"/>
      <c r="C384" s="224">
        <v>85</v>
      </c>
      <c r="D384" s="367">
        <f>D385</f>
        <v>-17.79</v>
      </c>
      <c r="E384" s="414">
        <f>E385</f>
        <v>0</v>
      </c>
      <c r="F384" s="167">
        <f t="shared" si="27"/>
        <v>-17.79</v>
      </c>
    </row>
    <row r="385" spans="1:6" ht="18" customHeight="1">
      <c r="A385" s="459"/>
      <c r="B385" s="220" t="s">
        <v>311</v>
      </c>
      <c r="C385" s="224" t="s">
        <v>312</v>
      </c>
      <c r="D385" s="248">
        <f>D1217</f>
        <v>-17.79</v>
      </c>
      <c r="E385" s="214">
        <f>E1217</f>
        <v>0</v>
      </c>
      <c r="F385" s="167">
        <f t="shared" si="27"/>
        <v>-17.79</v>
      </c>
    </row>
    <row r="386" spans="1:6" ht="18.75" hidden="1" customHeight="1">
      <c r="A386" s="242"/>
      <c r="B386" s="243"/>
      <c r="C386" s="224"/>
      <c r="D386" s="248"/>
      <c r="E386" s="214"/>
      <c r="F386" s="167">
        <f t="shared" si="27"/>
        <v>0</v>
      </c>
    </row>
    <row r="387" spans="1:6" ht="18" customHeight="1">
      <c r="A387" s="262" t="s">
        <v>383</v>
      </c>
      <c r="B387" s="245"/>
      <c r="C387" s="224" t="s">
        <v>384</v>
      </c>
      <c r="D387" s="248">
        <f>D388</f>
        <v>19199.21</v>
      </c>
      <c r="E387" s="214">
        <f>E388</f>
        <v>0</v>
      </c>
      <c r="F387" s="167">
        <f t="shared" si="27"/>
        <v>19199.21</v>
      </c>
    </row>
    <row r="388" spans="1:6" ht="18" customHeight="1">
      <c r="A388" s="262"/>
      <c r="B388" s="475" t="s">
        <v>350</v>
      </c>
      <c r="C388" s="224" t="s">
        <v>385</v>
      </c>
      <c r="D388" s="248">
        <f>D1220+D2044</f>
        <v>19199.21</v>
      </c>
      <c r="E388" s="214">
        <f>E1220+E2044</f>
        <v>0</v>
      </c>
      <c r="F388" s="167">
        <f t="shared" si="27"/>
        <v>19199.21</v>
      </c>
    </row>
    <row r="389" spans="1:6" ht="18" customHeight="1">
      <c r="A389" s="262" t="s">
        <v>111</v>
      </c>
      <c r="B389" s="245"/>
      <c r="C389" s="224" t="s">
        <v>568</v>
      </c>
      <c r="D389" s="248">
        <f>D1221</f>
        <v>22</v>
      </c>
      <c r="E389" s="214">
        <f>E1221</f>
        <v>0</v>
      </c>
      <c r="F389" s="167">
        <f t="shared" si="27"/>
        <v>22</v>
      </c>
    </row>
    <row r="390" spans="1:6" ht="18" customHeight="1">
      <c r="A390" s="262" t="s">
        <v>386</v>
      </c>
      <c r="B390" s="245"/>
      <c r="C390" s="224" t="s">
        <v>387</v>
      </c>
      <c r="D390" s="248">
        <f>D1222+D2046</f>
        <v>3180</v>
      </c>
      <c r="E390" s="214">
        <f>E1222</f>
        <v>0</v>
      </c>
      <c r="F390" s="167">
        <f t="shared" si="27"/>
        <v>3180</v>
      </c>
    </row>
    <row r="391" spans="1:6" ht="18" hidden="1" customHeight="1">
      <c r="A391" s="246"/>
      <c r="B391" s="474"/>
      <c r="C391" s="224"/>
      <c r="D391" s="248"/>
      <c r="E391" s="214"/>
      <c r="F391" s="167">
        <f t="shared" si="27"/>
        <v>0</v>
      </c>
    </row>
    <row r="392" spans="1:6" ht="18.75" hidden="1" customHeight="1">
      <c r="A392" s="263"/>
      <c r="B392" s="396"/>
      <c r="C392" s="224" t="s">
        <v>112</v>
      </c>
      <c r="D392" s="248"/>
      <c r="E392" s="214"/>
      <c r="F392" s="167">
        <f t="shared" si="27"/>
        <v>0</v>
      </c>
    </row>
    <row r="393" spans="1:6" ht="18.75" hidden="1" customHeight="1">
      <c r="A393" s="263"/>
      <c r="B393" s="396"/>
      <c r="C393" s="224"/>
      <c r="D393" s="248"/>
      <c r="E393" s="214"/>
      <c r="F393" s="167">
        <f t="shared" si="27"/>
        <v>0</v>
      </c>
    </row>
    <row r="394" spans="1:6" ht="20.25">
      <c r="A394" s="255"/>
      <c r="B394" s="264" t="s">
        <v>113</v>
      </c>
      <c r="C394" s="202" t="s">
        <v>569</v>
      </c>
      <c r="D394" s="350">
        <f>D435+D438+D442+D443+D445+D448+D449</f>
        <v>278004.17000000004</v>
      </c>
      <c r="E394" s="409">
        <f>E435+E438+E442+E443+E445+E448+E449</f>
        <v>-16</v>
      </c>
      <c r="F394" s="167">
        <f t="shared" si="27"/>
        <v>277988.17000000004</v>
      </c>
    </row>
    <row r="395" spans="1:6" ht="20.25">
      <c r="A395" s="265" t="s">
        <v>114</v>
      </c>
      <c r="B395" s="474"/>
      <c r="C395" s="235" t="s">
        <v>49</v>
      </c>
      <c r="D395" s="367">
        <f>D396+D397+D398+D401+D415+D409+D406</f>
        <v>59153.17</v>
      </c>
      <c r="E395" s="414">
        <f>E396+E397+E398+E401+E415+E409+E406</f>
        <v>0</v>
      </c>
      <c r="F395" s="371">
        <f>F396+F397+F398+F401+F415+F409+F406</f>
        <v>59153.17</v>
      </c>
    </row>
    <row r="396" spans="1:6" ht="20.25">
      <c r="A396" s="221" t="s">
        <v>561</v>
      </c>
      <c r="B396" s="474"/>
      <c r="C396" s="235">
        <v>10</v>
      </c>
      <c r="D396" s="248">
        <f>D1228</f>
        <v>1188.17</v>
      </c>
      <c r="E396" s="214">
        <f>E1228</f>
        <v>0</v>
      </c>
      <c r="F396" s="167">
        <f t="shared" ref="F396:F409" si="28">D396+E396</f>
        <v>1188.17</v>
      </c>
    </row>
    <row r="397" spans="1:6" ht="20.25">
      <c r="A397" s="236" t="s">
        <v>562</v>
      </c>
      <c r="B397" s="474"/>
      <c r="C397" s="224">
        <v>20</v>
      </c>
      <c r="D397" s="248">
        <f>D1229</f>
        <v>33240</v>
      </c>
      <c r="E397" s="214">
        <f>E1229</f>
        <v>0</v>
      </c>
      <c r="F397" s="167">
        <f t="shared" si="28"/>
        <v>33240</v>
      </c>
    </row>
    <row r="398" spans="1:6" ht="18" hidden="1" customHeight="1">
      <c r="A398" s="238" t="s">
        <v>388</v>
      </c>
      <c r="B398" s="474"/>
      <c r="C398" s="235" t="s">
        <v>592</v>
      </c>
      <c r="D398" s="248"/>
      <c r="E398" s="214"/>
      <c r="F398" s="167">
        <f t="shared" si="28"/>
        <v>0</v>
      </c>
    </row>
    <row r="399" spans="1:6" ht="20.25" hidden="1">
      <c r="A399" s="215"/>
      <c r="B399" s="474" t="s">
        <v>55</v>
      </c>
      <c r="C399" s="235" t="s">
        <v>56</v>
      </c>
      <c r="D399" s="248"/>
      <c r="E399" s="214"/>
      <c r="F399" s="167">
        <f t="shared" si="28"/>
        <v>0</v>
      </c>
    </row>
    <row r="400" spans="1:6" ht="20.25" hidden="1">
      <c r="A400" s="215"/>
      <c r="B400" s="222" t="s">
        <v>100</v>
      </c>
      <c r="C400" s="235" t="s">
        <v>58</v>
      </c>
      <c r="D400" s="248"/>
      <c r="E400" s="214"/>
      <c r="F400" s="167">
        <f t="shared" si="28"/>
        <v>0</v>
      </c>
    </row>
    <row r="401" spans="1:6" ht="20.25">
      <c r="A401" s="238" t="s">
        <v>623</v>
      </c>
      <c r="B401" s="474"/>
      <c r="C401" s="235" t="s">
        <v>159</v>
      </c>
      <c r="D401" s="248">
        <f>D402</f>
        <v>11657</v>
      </c>
      <c r="E401" s="214">
        <f>E402</f>
        <v>0</v>
      </c>
      <c r="F401" s="167">
        <f t="shared" si="28"/>
        <v>11657</v>
      </c>
    </row>
    <row r="402" spans="1:6" ht="20.25">
      <c r="A402" s="215"/>
      <c r="B402" s="474" t="s">
        <v>301</v>
      </c>
      <c r="C402" s="235" t="s">
        <v>67</v>
      </c>
      <c r="D402" s="248">
        <f>D403+D404</f>
        <v>11657</v>
      </c>
      <c r="E402" s="214">
        <f>E403+E404</f>
        <v>0</v>
      </c>
      <c r="F402" s="167">
        <f t="shared" si="28"/>
        <v>11657</v>
      </c>
    </row>
    <row r="403" spans="1:6" s="143" customFormat="1" ht="36" hidden="1">
      <c r="A403" s="372"/>
      <c r="B403" s="373" t="s">
        <v>974</v>
      </c>
      <c r="C403" s="374" t="s">
        <v>329</v>
      </c>
      <c r="D403" s="375">
        <f>D2059</f>
        <v>0</v>
      </c>
      <c r="E403" s="417">
        <f>E2059</f>
        <v>0</v>
      </c>
      <c r="F403" s="266">
        <f t="shared" si="28"/>
        <v>0</v>
      </c>
    </row>
    <row r="404" spans="1:6" ht="20.25">
      <c r="A404" s="215"/>
      <c r="B404" s="222" t="s">
        <v>877</v>
      </c>
      <c r="C404" s="224" t="s">
        <v>878</v>
      </c>
      <c r="D404" s="248">
        <f>D1236</f>
        <v>11657</v>
      </c>
      <c r="E404" s="214">
        <f>E1236</f>
        <v>0</v>
      </c>
      <c r="F404" s="167">
        <f t="shared" si="28"/>
        <v>11657</v>
      </c>
    </row>
    <row r="405" spans="1:6" ht="20.25">
      <c r="A405" s="546" t="s">
        <v>1065</v>
      </c>
      <c r="B405" s="529"/>
      <c r="C405" s="224">
        <v>56</v>
      </c>
      <c r="D405" s="248">
        <f>D2060</f>
        <v>16544</v>
      </c>
      <c r="E405" s="214">
        <f>E2060</f>
        <v>0</v>
      </c>
      <c r="F405" s="167">
        <f t="shared" si="28"/>
        <v>16544</v>
      </c>
    </row>
    <row r="406" spans="1:6" ht="35.25" customHeight="1">
      <c r="A406" s="551" t="s">
        <v>890</v>
      </c>
      <c r="B406" s="529"/>
      <c r="C406" s="235">
        <v>58</v>
      </c>
      <c r="D406" s="367">
        <f>D2061</f>
        <v>2063</v>
      </c>
      <c r="E406" s="414">
        <f>E2061</f>
        <v>0</v>
      </c>
      <c r="F406" s="167">
        <f t="shared" si="28"/>
        <v>2063</v>
      </c>
    </row>
    <row r="407" spans="1:6" ht="36" customHeight="1">
      <c r="A407" s="558" t="s">
        <v>1002</v>
      </c>
      <c r="B407" s="529"/>
      <c r="C407" s="395">
        <v>60</v>
      </c>
      <c r="D407" s="248">
        <f>D2063</f>
        <v>62016</v>
      </c>
      <c r="E407" s="214">
        <f>E2063</f>
        <v>0</v>
      </c>
      <c r="F407" s="167">
        <f t="shared" si="28"/>
        <v>62016</v>
      </c>
    </row>
    <row r="408" spans="1:6" ht="42.75" customHeight="1">
      <c r="A408" s="558" t="s">
        <v>1013</v>
      </c>
      <c r="B408" s="529"/>
      <c r="C408" s="267">
        <v>61</v>
      </c>
      <c r="D408" s="248">
        <f>D2064</f>
        <v>122642</v>
      </c>
      <c r="E408" s="214">
        <f>E2064</f>
        <v>0</v>
      </c>
      <c r="F408" s="167">
        <f t="shared" si="28"/>
        <v>122642</v>
      </c>
    </row>
    <row r="409" spans="1:6" ht="20.25">
      <c r="A409" s="238" t="s">
        <v>316</v>
      </c>
      <c r="B409" s="474"/>
      <c r="C409" s="235">
        <v>57</v>
      </c>
      <c r="D409" s="367">
        <f>D410</f>
        <v>10825</v>
      </c>
      <c r="E409" s="414">
        <f>E410</f>
        <v>0</v>
      </c>
      <c r="F409" s="167">
        <f t="shared" si="28"/>
        <v>10825</v>
      </c>
    </row>
    <row r="410" spans="1:6" ht="20.25">
      <c r="A410" s="376" t="s">
        <v>69</v>
      </c>
      <c r="B410" s="474"/>
      <c r="C410" s="224" t="s">
        <v>70</v>
      </c>
      <c r="D410" s="367">
        <f>D411+D412+D413+D414</f>
        <v>10825</v>
      </c>
      <c r="E410" s="414">
        <f>E411+E412+E413+E414</f>
        <v>0</v>
      </c>
      <c r="F410" s="371">
        <f>F411+F412+F413+F414</f>
        <v>10825</v>
      </c>
    </row>
    <row r="411" spans="1:6" ht="20.25">
      <c r="A411" s="225"/>
      <c r="B411" s="475" t="s">
        <v>71</v>
      </c>
      <c r="C411" s="224" t="s">
        <v>72</v>
      </c>
      <c r="D411" s="248">
        <f t="shared" ref="D411:E414" si="29">D1241</f>
        <v>3154</v>
      </c>
      <c r="E411" s="214">
        <f t="shared" si="29"/>
        <v>0</v>
      </c>
      <c r="F411" s="167">
        <f>D411+E411</f>
        <v>3154</v>
      </c>
    </row>
    <row r="412" spans="1:6" ht="20.25" hidden="1">
      <c r="A412" s="215"/>
      <c r="B412" s="475" t="s">
        <v>126</v>
      </c>
      <c r="C412" s="224" t="s">
        <v>74</v>
      </c>
      <c r="D412" s="248">
        <f t="shared" si="29"/>
        <v>5744</v>
      </c>
      <c r="E412" s="214">
        <f t="shared" si="29"/>
        <v>0</v>
      </c>
      <c r="F412" s="167">
        <f>D412+E412</f>
        <v>5744</v>
      </c>
    </row>
    <row r="413" spans="1:6" ht="20.25">
      <c r="A413" s="238"/>
      <c r="B413" s="475" t="s">
        <v>881</v>
      </c>
      <c r="C413" s="224" t="s">
        <v>882</v>
      </c>
      <c r="D413" s="248">
        <f t="shared" si="29"/>
        <v>41</v>
      </c>
      <c r="E413" s="214">
        <f t="shared" si="29"/>
        <v>0</v>
      </c>
      <c r="F413" s="167">
        <f>D413+E413</f>
        <v>41</v>
      </c>
    </row>
    <row r="414" spans="1:6" ht="20.25">
      <c r="A414" s="238"/>
      <c r="B414" s="475" t="s">
        <v>1010</v>
      </c>
      <c r="C414" s="224" t="s">
        <v>1009</v>
      </c>
      <c r="D414" s="248">
        <f t="shared" si="29"/>
        <v>1886</v>
      </c>
      <c r="E414" s="214">
        <f t="shared" si="29"/>
        <v>0</v>
      </c>
      <c r="F414" s="357">
        <f>F1244</f>
        <v>1886</v>
      </c>
    </row>
    <row r="415" spans="1:6" ht="20.25">
      <c r="A415" s="237" t="s">
        <v>658</v>
      </c>
      <c r="B415" s="474"/>
      <c r="C415" s="235">
        <v>59</v>
      </c>
      <c r="D415" s="367">
        <f>D416+D417+D418</f>
        <v>180</v>
      </c>
      <c r="E415" s="414">
        <f>E416+E417+E418</f>
        <v>0</v>
      </c>
      <c r="F415" s="167">
        <f t="shared" ref="F415:F444" si="30">D415+E415</f>
        <v>180</v>
      </c>
    </row>
    <row r="416" spans="1:6" ht="20.25" hidden="1">
      <c r="A416" s="227" t="s">
        <v>115</v>
      </c>
      <c r="B416" s="474"/>
      <c r="C416" s="235" t="s">
        <v>76</v>
      </c>
      <c r="D416" s="248">
        <f t="shared" ref="D416:E418" si="31">D1246</f>
        <v>0</v>
      </c>
      <c r="E416" s="214">
        <f t="shared" si="31"/>
        <v>0</v>
      </c>
      <c r="F416" s="167">
        <f t="shared" si="30"/>
        <v>0</v>
      </c>
    </row>
    <row r="417" spans="1:6" ht="20.25" hidden="1">
      <c r="A417" s="227" t="s">
        <v>891</v>
      </c>
      <c r="B417" s="474"/>
      <c r="C417" s="224" t="s">
        <v>892</v>
      </c>
      <c r="D417" s="248">
        <f t="shared" si="31"/>
        <v>0</v>
      </c>
      <c r="E417" s="214">
        <f t="shared" si="31"/>
        <v>0</v>
      </c>
      <c r="F417" s="167">
        <f t="shared" si="30"/>
        <v>0</v>
      </c>
    </row>
    <row r="418" spans="1:6" ht="20.25">
      <c r="A418" s="227" t="s">
        <v>884</v>
      </c>
      <c r="B418" s="474"/>
      <c r="C418" s="235" t="s">
        <v>819</v>
      </c>
      <c r="D418" s="248">
        <f t="shared" si="31"/>
        <v>180</v>
      </c>
      <c r="E418" s="214">
        <f t="shared" si="31"/>
        <v>0</v>
      </c>
      <c r="F418" s="167">
        <f t="shared" si="30"/>
        <v>180</v>
      </c>
    </row>
    <row r="419" spans="1:6" ht="18" customHeight="1">
      <c r="A419" s="261" t="s">
        <v>116</v>
      </c>
      <c r="B419" s="474"/>
      <c r="C419" s="224">
        <v>70</v>
      </c>
      <c r="D419" s="367">
        <f>D420</f>
        <v>8550</v>
      </c>
      <c r="E419" s="414">
        <f>E420</f>
        <v>-16</v>
      </c>
      <c r="F419" s="167">
        <f t="shared" si="30"/>
        <v>8534</v>
      </c>
    </row>
    <row r="420" spans="1:6" ht="18" customHeight="1">
      <c r="A420" s="226" t="s">
        <v>1014</v>
      </c>
      <c r="B420" s="474"/>
      <c r="C420" s="224">
        <v>71</v>
      </c>
      <c r="D420" s="248">
        <f>D2074</f>
        <v>8550</v>
      </c>
      <c r="E420" s="214">
        <f>E2074</f>
        <v>-16</v>
      </c>
      <c r="F420" s="167">
        <f t="shared" si="30"/>
        <v>8534</v>
      </c>
    </row>
    <row r="421" spans="1:6" ht="20.25" hidden="1" customHeight="1">
      <c r="A421" s="219" t="s">
        <v>110</v>
      </c>
      <c r="B421" s="474"/>
      <c r="C421" s="224" t="s">
        <v>80</v>
      </c>
      <c r="D421" s="248"/>
      <c r="E421" s="214"/>
      <c r="F421" s="167">
        <f t="shared" si="30"/>
        <v>0</v>
      </c>
    </row>
    <row r="422" spans="1:6" ht="20.25" hidden="1">
      <c r="A422" s="219"/>
      <c r="B422" s="218" t="s">
        <v>81</v>
      </c>
      <c r="C422" s="241" t="s">
        <v>82</v>
      </c>
      <c r="D422" s="248"/>
      <c r="E422" s="214"/>
      <c r="F422" s="167">
        <f t="shared" si="30"/>
        <v>0</v>
      </c>
    </row>
    <row r="423" spans="1:6" ht="20.25" hidden="1">
      <c r="A423" s="219"/>
      <c r="B423" s="220" t="s">
        <v>83</v>
      </c>
      <c r="C423" s="241" t="s">
        <v>84</v>
      </c>
      <c r="D423" s="248"/>
      <c r="E423" s="214"/>
      <c r="F423" s="167">
        <f t="shared" si="30"/>
        <v>0</v>
      </c>
    </row>
    <row r="424" spans="1:6" ht="20.25" hidden="1">
      <c r="A424" s="219"/>
      <c r="B424" s="220" t="s">
        <v>94</v>
      </c>
      <c r="C424" s="241" t="s">
        <v>86</v>
      </c>
      <c r="D424" s="248"/>
      <c r="E424" s="214"/>
      <c r="F424" s="167">
        <f t="shared" si="30"/>
        <v>0</v>
      </c>
    </row>
    <row r="425" spans="1:6" ht="18" hidden="1" customHeight="1">
      <c r="A425" s="219"/>
      <c r="B425" s="220" t="s">
        <v>87</v>
      </c>
      <c r="C425" s="241" t="s">
        <v>88</v>
      </c>
      <c r="D425" s="248"/>
      <c r="E425" s="214"/>
      <c r="F425" s="167">
        <f t="shared" si="30"/>
        <v>0</v>
      </c>
    </row>
    <row r="426" spans="1:6" ht="20.25" hidden="1">
      <c r="A426" s="526" t="s">
        <v>268</v>
      </c>
      <c r="B426" s="529"/>
      <c r="C426" s="241" t="s">
        <v>269</v>
      </c>
      <c r="D426" s="248"/>
      <c r="E426" s="214"/>
      <c r="F426" s="167">
        <f t="shared" si="30"/>
        <v>0</v>
      </c>
    </row>
    <row r="427" spans="1:6" ht="20.25">
      <c r="A427" s="268" t="s">
        <v>614</v>
      </c>
      <c r="B427" s="220"/>
      <c r="C427" s="224">
        <v>79</v>
      </c>
      <c r="D427" s="248">
        <f>D2081</f>
        <v>9099</v>
      </c>
      <c r="E427" s="214">
        <f>E2081</f>
        <v>0</v>
      </c>
      <c r="F427" s="167">
        <f t="shared" si="30"/>
        <v>9099</v>
      </c>
    </row>
    <row r="428" spans="1:6" ht="20.25">
      <c r="A428" s="542" t="s">
        <v>1020</v>
      </c>
      <c r="B428" s="529"/>
      <c r="C428" s="224">
        <v>81</v>
      </c>
      <c r="D428" s="248">
        <f>D2082</f>
        <v>9099</v>
      </c>
      <c r="E428" s="214">
        <f>E2082</f>
        <v>0</v>
      </c>
      <c r="F428" s="167">
        <f t="shared" si="30"/>
        <v>9099</v>
      </c>
    </row>
    <row r="429" spans="1:6" ht="20.25" hidden="1" customHeight="1">
      <c r="A429" s="219" t="s">
        <v>287</v>
      </c>
      <c r="B429" s="220"/>
      <c r="C429" s="224" t="s">
        <v>279</v>
      </c>
      <c r="D429" s="248"/>
      <c r="E429" s="214"/>
      <c r="F429" s="167">
        <f t="shared" si="30"/>
        <v>0</v>
      </c>
    </row>
    <row r="430" spans="1:6" ht="18" hidden="1" customHeight="1">
      <c r="A430" s="206" t="s">
        <v>629</v>
      </c>
      <c r="B430" s="220"/>
      <c r="C430" s="224" t="s">
        <v>602</v>
      </c>
      <c r="D430" s="248"/>
      <c r="E430" s="214"/>
      <c r="F430" s="167">
        <f t="shared" si="30"/>
        <v>0</v>
      </c>
    </row>
    <row r="431" spans="1:6" ht="38.25" customHeight="1">
      <c r="A431" s="524" t="s">
        <v>887</v>
      </c>
      <c r="B431" s="529"/>
      <c r="C431" s="224" t="s">
        <v>888</v>
      </c>
      <c r="D431" s="248">
        <f>D2085</f>
        <v>9099</v>
      </c>
      <c r="E431" s="214">
        <f>E2085</f>
        <v>0</v>
      </c>
      <c r="F431" s="167">
        <f t="shared" si="30"/>
        <v>9099</v>
      </c>
    </row>
    <row r="432" spans="1:6" ht="20.25" hidden="1">
      <c r="A432" s="206" t="s">
        <v>661</v>
      </c>
      <c r="B432" s="220"/>
      <c r="C432" s="224">
        <v>85</v>
      </c>
      <c r="D432" s="248">
        <f>D433</f>
        <v>0</v>
      </c>
      <c r="E432" s="214">
        <f>E433</f>
        <v>0</v>
      </c>
      <c r="F432" s="167">
        <f t="shared" si="30"/>
        <v>0</v>
      </c>
    </row>
    <row r="433" spans="1:7" ht="18" hidden="1" customHeight="1">
      <c r="A433" s="206"/>
      <c r="B433" s="220" t="s">
        <v>311</v>
      </c>
      <c r="C433" s="224" t="s">
        <v>312</v>
      </c>
      <c r="D433" s="248">
        <f>D1263+D2087</f>
        <v>0</v>
      </c>
      <c r="E433" s="214">
        <f>E1263+E2087</f>
        <v>0</v>
      </c>
      <c r="F433" s="167">
        <f t="shared" si="30"/>
        <v>0</v>
      </c>
    </row>
    <row r="434" spans="1:7" ht="20.25" hidden="1">
      <c r="A434" s="242"/>
      <c r="B434" s="243"/>
      <c r="C434" s="224"/>
      <c r="D434" s="248"/>
      <c r="E434" s="214"/>
      <c r="F434" s="167">
        <f t="shared" si="30"/>
        <v>0</v>
      </c>
    </row>
    <row r="435" spans="1:7" ht="18" hidden="1" customHeight="1">
      <c r="A435" s="269" t="s">
        <v>117</v>
      </c>
      <c r="B435" s="270"/>
      <c r="C435" s="224" t="s">
        <v>118</v>
      </c>
      <c r="D435" s="248">
        <f>D436+D437</f>
        <v>13808.08</v>
      </c>
      <c r="E435" s="214">
        <f>E436+E437</f>
        <v>0</v>
      </c>
      <c r="F435" s="167">
        <f t="shared" si="30"/>
        <v>13808.08</v>
      </c>
    </row>
    <row r="436" spans="1:7" ht="20.25" hidden="1">
      <c r="A436" s="269"/>
      <c r="B436" s="270" t="s">
        <v>119</v>
      </c>
      <c r="C436" s="224" t="s">
        <v>570</v>
      </c>
      <c r="D436" s="248">
        <f>D1266+D2090</f>
        <v>13808.08</v>
      </c>
      <c r="E436" s="214">
        <f>E1266+E2090</f>
        <v>0</v>
      </c>
      <c r="F436" s="167">
        <f t="shared" si="30"/>
        <v>13808.08</v>
      </c>
    </row>
    <row r="437" spans="1:7" ht="20.25" hidden="1">
      <c r="A437" s="269"/>
      <c r="B437" s="270" t="s">
        <v>120</v>
      </c>
      <c r="C437" s="224" t="s">
        <v>571</v>
      </c>
      <c r="D437" s="248">
        <f>D1267+D2091</f>
        <v>0</v>
      </c>
      <c r="E437" s="214">
        <f>E1267+E2091</f>
        <v>0</v>
      </c>
      <c r="F437" s="167">
        <f t="shared" si="30"/>
        <v>0</v>
      </c>
    </row>
    <row r="438" spans="1:7" ht="20.25" hidden="1">
      <c r="A438" s="269" t="s">
        <v>121</v>
      </c>
      <c r="B438" s="259"/>
      <c r="C438" s="224" t="s">
        <v>616</v>
      </c>
      <c r="D438" s="367">
        <f>D439+D440+D441</f>
        <v>178107.65000000002</v>
      </c>
      <c r="E438" s="414">
        <f>E439+E440+E441</f>
        <v>24</v>
      </c>
      <c r="F438" s="167">
        <f t="shared" si="30"/>
        <v>178131.65000000002</v>
      </c>
      <c r="G438" s="142" t="s">
        <v>989</v>
      </c>
    </row>
    <row r="439" spans="1:7" ht="20.25" hidden="1">
      <c r="A439" s="269"/>
      <c r="B439" s="475" t="s">
        <v>389</v>
      </c>
      <c r="C439" s="224" t="s">
        <v>390</v>
      </c>
      <c r="D439" s="248">
        <f>D1269+D2093</f>
        <v>38141.61</v>
      </c>
      <c r="E439" s="214">
        <f>E1269+E2093</f>
        <v>0</v>
      </c>
      <c r="F439" s="167">
        <f t="shared" si="30"/>
        <v>38141.61</v>
      </c>
    </row>
    <row r="440" spans="1:7" ht="20.25" hidden="1">
      <c r="A440" s="269"/>
      <c r="B440" s="475" t="s">
        <v>122</v>
      </c>
      <c r="C440" s="224" t="s">
        <v>123</v>
      </c>
      <c r="D440" s="248">
        <f>D1270+D2094</f>
        <v>139966.04</v>
      </c>
      <c r="E440" s="214">
        <f>E1270+E2094</f>
        <v>24</v>
      </c>
      <c r="F440" s="167">
        <f t="shared" si="30"/>
        <v>139990.04</v>
      </c>
    </row>
    <row r="441" spans="1:7" ht="18" hidden="1" customHeight="1">
      <c r="A441" s="269"/>
      <c r="B441" s="220" t="s">
        <v>391</v>
      </c>
      <c r="C441" s="224" t="s">
        <v>392</v>
      </c>
      <c r="D441" s="248"/>
      <c r="E441" s="214"/>
      <c r="F441" s="167">
        <f t="shared" si="30"/>
        <v>0</v>
      </c>
    </row>
    <row r="442" spans="1:7" ht="20.25" hidden="1">
      <c r="A442" s="244" t="s">
        <v>393</v>
      </c>
      <c r="B442" s="475"/>
      <c r="C442" s="224" t="s">
        <v>394</v>
      </c>
      <c r="D442" s="248"/>
      <c r="E442" s="214"/>
      <c r="F442" s="167">
        <f t="shared" si="30"/>
        <v>0</v>
      </c>
    </row>
    <row r="443" spans="1:7" ht="20.25" hidden="1">
      <c r="A443" s="244" t="s">
        <v>395</v>
      </c>
      <c r="B443" s="475"/>
      <c r="C443" s="224" t="s">
        <v>396</v>
      </c>
      <c r="D443" s="248"/>
      <c r="E443" s="214"/>
      <c r="F443" s="167">
        <f t="shared" si="30"/>
        <v>0</v>
      </c>
    </row>
    <row r="444" spans="1:7" ht="20.25" hidden="1">
      <c r="A444" s="244"/>
      <c r="B444" s="475" t="s">
        <v>397</v>
      </c>
      <c r="C444" s="224" t="s">
        <v>398</v>
      </c>
      <c r="D444" s="248"/>
      <c r="E444" s="214"/>
      <c r="F444" s="167">
        <f t="shared" si="30"/>
        <v>0</v>
      </c>
    </row>
    <row r="445" spans="1:7" ht="20.25" hidden="1">
      <c r="A445" s="244" t="s">
        <v>399</v>
      </c>
      <c r="B445" s="475"/>
      <c r="C445" s="224" t="s">
        <v>400</v>
      </c>
      <c r="D445" s="248">
        <f>D446+D447</f>
        <v>7630</v>
      </c>
      <c r="E445" s="214">
        <f>E446+E447</f>
        <v>0</v>
      </c>
      <c r="F445" s="357">
        <f>F446+F447</f>
        <v>7630</v>
      </c>
    </row>
    <row r="446" spans="1:7" ht="20.25" hidden="1">
      <c r="A446" s="244"/>
      <c r="B446" s="270" t="s">
        <v>401</v>
      </c>
      <c r="C446" s="224" t="s">
        <v>402</v>
      </c>
      <c r="D446" s="248"/>
      <c r="E446" s="214"/>
      <c r="F446" s="167">
        <f>D446+E446</f>
        <v>0</v>
      </c>
    </row>
    <row r="447" spans="1:7" ht="20.25" hidden="1">
      <c r="A447" s="244"/>
      <c r="B447" s="475" t="s">
        <v>403</v>
      </c>
      <c r="C447" s="224" t="s">
        <v>404</v>
      </c>
      <c r="D447" s="248">
        <f>D1277+D2101</f>
        <v>7630</v>
      </c>
      <c r="E447" s="214">
        <f>E1277</f>
        <v>0</v>
      </c>
      <c r="F447" s="357">
        <f>F1277</f>
        <v>7630</v>
      </c>
    </row>
    <row r="448" spans="1:7" ht="20.25" hidden="1">
      <c r="A448" s="244" t="s">
        <v>993</v>
      </c>
      <c r="B448" s="475"/>
      <c r="C448" s="224" t="s">
        <v>994</v>
      </c>
      <c r="D448" s="248">
        <f>D1278+D2102</f>
        <v>38192.44</v>
      </c>
      <c r="E448" s="214">
        <f>E1278+E2102</f>
        <v>0</v>
      </c>
      <c r="F448" s="167">
        <f>D448+E448</f>
        <v>38192.44</v>
      </c>
    </row>
    <row r="449" spans="1:8" ht="20.25" hidden="1">
      <c r="A449" s="236" t="s">
        <v>405</v>
      </c>
      <c r="B449" s="220"/>
      <c r="C449" s="224" t="s">
        <v>406</v>
      </c>
      <c r="D449" s="248">
        <f>D1279+D2103</f>
        <v>40266</v>
      </c>
      <c r="E449" s="214">
        <f>E1279+E2103</f>
        <v>-40</v>
      </c>
      <c r="F449" s="167">
        <f>D449+E449</f>
        <v>40226</v>
      </c>
    </row>
    <row r="450" spans="1:8" ht="18" hidden="1" customHeight="1">
      <c r="A450" s="271"/>
      <c r="B450" s="474"/>
      <c r="C450" s="224"/>
      <c r="D450" s="248"/>
      <c r="E450" s="214"/>
      <c r="F450" s="167"/>
      <c r="G450" s="196"/>
      <c r="H450" s="196"/>
    </row>
    <row r="451" spans="1:8" ht="20.25">
      <c r="A451" s="272"/>
      <c r="B451" s="264" t="s">
        <v>124</v>
      </c>
      <c r="C451" s="202" t="s">
        <v>572</v>
      </c>
      <c r="D451" s="350">
        <f>D481+D484+D483</f>
        <v>43399</v>
      </c>
      <c r="E451" s="409">
        <f>E481+E484+E483</f>
        <v>0</v>
      </c>
      <c r="F451" s="167">
        <f t="shared" ref="F451:F463" si="32">D451+E451</f>
        <v>43399</v>
      </c>
    </row>
    <row r="452" spans="1:8" ht="20.25">
      <c r="A452" s="247" t="s">
        <v>916</v>
      </c>
      <c r="B452" s="474"/>
      <c r="C452" s="235" t="s">
        <v>49</v>
      </c>
      <c r="D452" s="367">
        <f>D453+D454+D455+D464+D468+D469</f>
        <v>23048</v>
      </c>
      <c r="E452" s="414">
        <f>E453+E454+E455+E464+E468+E469</f>
        <v>0</v>
      </c>
      <c r="F452" s="167">
        <f t="shared" si="32"/>
        <v>23048</v>
      </c>
    </row>
    <row r="453" spans="1:8" ht="20.25">
      <c r="A453" s="204" t="s">
        <v>561</v>
      </c>
      <c r="B453" s="474"/>
      <c r="C453" s="235">
        <v>10</v>
      </c>
      <c r="D453" s="248">
        <f>D1283</f>
        <v>13029</v>
      </c>
      <c r="E453" s="214">
        <f>E1283</f>
        <v>0</v>
      </c>
      <c r="F453" s="167">
        <f t="shared" si="32"/>
        <v>13029</v>
      </c>
    </row>
    <row r="454" spans="1:8" ht="20.25">
      <c r="A454" s="206" t="s">
        <v>562</v>
      </c>
      <c r="B454" s="474"/>
      <c r="C454" s="224">
        <v>20</v>
      </c>
      <c r="D454" s="248">
        <f>D1284</f>
        <v>190</v>
      </c>
      <c r="E454" s="214">
        <f>E1284</f>
        <v>0</v>
      </c>
      <c r="F454" s="167">
        <f t="shared" si="32"/>
        <v>190</v>
      </c>
    </row>
    <row r="455" spans="1:8" ht="18" customHeight="1">
      <c r="A455" s="219" t="s">
        <v>54</v>
      </c>
      <c r="B455" s="474"/>
      <c r="C455" s="235" t="s">
        <v>592</v>
      </c>
      <c r="D455" s="367">
        <f>D456+D458</f>
        <v>9655</v>
      </c>
      <c r="E455" s="414">
        <f>E456+E458</f>
        <v>0</v>
      </c>
      <c r="F455" s="167">
        <f t="shared" si="32"/>
        <v>9655</v>
      </c>
    </row>
    <row r="456" spans="1:8" ht="18" customHeight="1">
      <c r="A456" s="219" t="s">
        <v>55</v>
      </c>
      <c r="B456" s="474"/>
      <c r="C456" s="224" t="s">
        <v>56</v>
      </c>
      <c r="D456" s="367">
        <f>D457</f>
        <v>2000</v>
      </c>
      <c r="E456" s="414">
        <f>E457</f>
        <v>0</v>
      </c>
      <c r="F456" s="167">
        <f t="shared" si="32"/>
        <v>2000</v>
      </c>
    </row>
    <row r="457" spans="1:8" ht="18" customHeight="1">
      <c r="A457" s="215"/>
      <c r="B457" s="222" t="s">
        <v>1034</v>
      </c>
      <c r="C457" s="235" t="s">
        <v>1033</v>
      </c>
      <c r="D457" s="248">
        <f>D1287</f>
        <v>2000</v>
      </c>
      <c r="E457" s="214">
        <f>E1287</f>
        <v>0</v>
      </c>
      <c r="F457" s="167">
        <f t="shared" si="32"/>
        <v>2000</v>
      </c>
    </row>
    <row r="458" spans="1:8" ht="18" customHeight="1">
      <c r="A458" s="219" t="s">
        <v>125</v>
      </c>
      <c r="B458" s="460"/>
      <c r="C458" s="224" t="s">
        <v>560</v>
      </c>
      <c r="D458" s="367">
        <f>D459</f>
        <v>7655</v>
      </c>
      <c r="E458" s="414">
        <f>E459</f>
        <v>0</v>
      </c>
      <c r="F458" s="167">
        <f t="shared" si="32"/>
        <v>7655</v>
      </c>
    </row>
    <row r="459" spans="1:8" ht="18" customHeight="1">
      <c r="A459" s="215"/>
      <c r="B459" s="220" t="s">
        <v>1036</v>
      </c>
      <c r="C459" s="224" t="s">
        <v>1035</v>
      </c>
      <c r="D459" s="367">
        <f>D2113</f>
        <v>7655</v>
      </c>
      <c r="E459" s="414">
        <f>E2113</f>
        <v>0</v>
      </c>
      <c r="F459" s="167">
        <f t="shared" si="32"/>
        <v>7655</v>
      </c>
    </row>
    <row r="460" spans="1:8" ht="18" hidden="1" customHeight="1">
      <c r="A460" s="219" t="s">
        <v>612</v>
      </c>
      <c r="B460" s="474"/>
      <c r="C460" s="235" t="s">
        <v>159</v>
      </c>
      <c r="D460" s="367">
        <f>D1294</f>
        <v>0</v>
      </c>
      <c r="E460" s="414">
        <f>E461</f>
        <v>0</v>
      </c>
      <c r="F460" s="167">
        <f t="shared" si="32"/>
        <v>0</v>
      </c>
    </row>
    <row r="461" spans="1:8" ht="18" hidden="1" customHeight="1">
      <c r="A461" s="219" t="s">
        <v>160</v>
      </c>
      <c r="B461" s="474"/>
      <c r="C461" s="235" t="s">
        <v>67</v>
      </c>
      <c r="D461" s="367">
        <f>D1295</f>
        <v>0</v>
      </c>
      <c r="E461" s="414">
        <f>E462</f>
        <v>0</v>
      </c>
      <c r="F461" s="167">
        <f t="shared" si="32"/>
        <v>0</v>
      </c>
    </row>
    <row r="462" spans="1:8" ht="18" hidden="1" customHeight="1">
      <c r="A462" s="215"/>
      <c r="B462" s="220" t="s">
        <v>624</v>
      </c>
      <c r="C462" s="224" t="s">
        <v>625</v>
      </c>
      <c r="D462" s="367">
        <f>D1296</f>
        <v>0</v>
      </c>
      <c r="E462" s="414">
        <f>E1296</f>
        <v>0</v>
      </c>
      <c r="F462" s="167">
        <f t="shared" si="32"/>
        <v>0</v>
      </c>
    </row>
    <row r="463" spans="1:8" ht="18" customHeight="1">
      <c r="A463" s="546" t="s">
        <v>1065</v>
      </c>
      <c r="B463" s="529"/>
      <c r="C463" s="224">
        <v>56</v>
      </c>
      <c r="D463" s="367">
        <f>D2121</f>
        <v>16891</v>
      </c>
      <c r="E463" s="414">
        <f>E2121</f>
        <v>0</v>
      </c>
      <c r="F463" s="167">
        <f t="shared" si="32"/>
        <v>16891</v>
      </c>
    </row>
    <row r="464" spans="1:8" ht="18" customHeight="1">
      <c r="A464" s="526" t="s">
        <v>316</v>
      </c>
      <c r="B464" s="529"/>
      <c r="C464" s="235">
        <v>57</v>
      </c>
      <c r="D464" s="367">
        <f>D465</f>
        <v>6</v>
      </c>
      <c r="E464" s="414">
        <f>E465</f>
        <v>0</v>
      </c>
      <c r="F464" s="167">
        <f t="shared" ref="F464:F484" si="33">D464+E464</f>
        <v>6</v>
      </c>
    </row>
    <row r="465" spans="1:6" ht="18" customHeight="1">
      <c r="A465" s="225" t="s">
        <v>69</v>
      </c>
      <c r="B465" s="474"/>
      <c r="C465" s="224" t="s">
        <v>70</v>
      </c>
      <c r="D465" s="367">
        <f>D466+D467</f>
        <v>6</v>
      </c>
      <c r="E465" s="414">
        <f>E466+E467</f>
        <v>0</v>
      </c>
      <c r="F465" s="167">
        <f t="shared" si="33"/>
        <v>6</v>
      </c>
    </row>
    <row r="466" spans="1:6" ht="18" hidden="1" customHeight="1">
      <c r="A466" s="225"/>
      <c r="B466" s="475" t="s">
        <v>71</v>
      </c>
      <c r="C466" s="224" t="s">
        <v>72</v>
      </c>
      <c r="D466" s="248"/>
      <c r="E466" s="214"/>
      <c r="F466" s="167">
        <f t="shared" si="33"/>
        <v>0</v>
      </c>
    </row>
    <row r="467" spans="1:6" ht="18" customHeight="1">
      <c r="A467" s="215"/>
      <c r="B467" s="475" t="s">
        <v>126</v>
      </c>
      <c r="C467" s="224" t="s">
        <v>74</v>
      </c>
      <c r="D467" s="248">
        <f>D1293</f>
        <v>6</v>
      </c>
      <c r="E467" s="214">
        <f>E1293</f>
        <v>0</v>
      </c>
      <c r="F467" s="167">
        <f t="shared" si="33"/>
        <v>6</v>
      </c>
    </row>
    <row r="468" spans="1:6" ht="18" hidden="1" customHeight="1">
      <c r="A468" s="520" t="s">
        <v>890</v>
      </c>
      <c r="B468" s="529"/>
      <c r="C468" s="224">
        <v>58</v>
      </c>
      <c r="D468" s="248">
        <f>D2122</f>
        <v>0</v>
      </c>
      <c r="E468" s="214">
        <f>E2122</f>
        <v>0</v>
      </c>
      <c r="F468" s="167">
        <f t="shared" si="33"/>
        <v>0</v>
      </c>
    </row>
    <row r="469" spans="1:6" ht="18" customHeight="1">
      <c r="A469" s="237" t="s">
        <v>1018</v>
      </c>
      <c r="B469" s="220"/>
      <c r="C469" s="235">
        <v>59</v>
      </c>
      <c r="D469" s="248">
        <f>D1297</f>
        <v>168</v>
      </c>
      <c r="E469" s="214">
        <f>E1297</f>
        <v>0</v>
      </c>
      <c r="F469" s="167">
        <f t="shared" si="33"/>
        <v>168</v>
      </c>
    </row>
    <row r="470" spans="1:6" ht="18" customHeight="1">
      <c r="A470" s="219"/>
      <c r="B470" s="366" t="s">
        <v>884</v>
      </c>
      <c r="C470" s="224" t="s">
        <v>819</v>
      </c>
      <c r="D470" s="248">
        <f>D1298</f>
        <v>168</v>
      </c>
      <c r="E470" s="214">
        <f>E1298</f>
        <v>0</v>
      </c>
      <c r="F470" s="167">
        <f t="shared" si="33"/>
        <v>168</v>
      </c>
    </row>
    <row r="471" spans="1:6" ht="18" customHeight="1">
      <c r="A471" s="558" t="s">
        <v>1002</v>
      </c>
      <c r="B471" s="529"/>
      <c r="C471" s="395">
        <v>60</v>
      </c>
      <c r="D471" s="248">
        <f>D2123</f>
        <v>2835</v>
      </c>
      <c r="E471" s="214">
        <f>E2123</f>
        <v>0</v>
      </c>
      <c r="F471" s="167">
        <f t="shared" si="33"/>
        <v>2835</v>
      </c>
    </row>
    <row r="472" spans="1:6" ht="18" customHeight="1">
      <c r="A472" s="261" t="s">
        <v>475</v>
      </c>
      <c r="B472" s="474"/>
      <c r="C472" s="224">
        <v>70</v>
      </c>
      <c r="D472" s="248">
        <f t="shared" ref="D472:D479" si="34">D2124</f>
        <v>615</v>
      </c>
      <c r="E472" s="214">
        <f t="shared" ref="E472:E479" si="35">E2124</f>
        <v>10</v>
      </c>
      <c r="F472" s="167">
        <f t="shared" si="33"/>
        <v>625</v>
      </c>
    </row>
    <row r="473" spans="1:6" ht="18" customHeight="1">
      <c r="A473" s="226" t="s">
        <v>1014</v>
      </c>
      <c r="B473" s="474"/>
      <c r="C473" s="224">
        <v>71</v>
      </c>
      <c r="D473" s="248">
        <f t="shared" si="34"/>
        <v>615</v>
      </c>
      <c r="E473" s="214">
        <f t="shared" si="35"/>
        <v>10</v>
      </c>
      <c r="F473" s="167">
        <f t="shared" si="33"/>
        <v>625</v>
      </c>
    </row>
    <row r="474" spans="1:6" ht="18" hidden="1" customHeight="1">
      <c r="A474" s="219" t="s">
        <v>127</v>
      </c>
      <c r="B474" s="474"/>
      <c r="C474" s="224" t="s">
        <v>80</v>
      </c>
      <c r="D474" s="248">
        <f t="shared" si="34"/>
        <v>0</v>
      </c>
      <c r="E474" s="214">
        <f t="shared" si="35"/>
        <v>0</v>
      </c>
      <c r="F474" s="167">
        <f t="shared" si="33"/>
        <v>0</v>
      </c>
    </row>
    <row r="475" spans="1:6" ht="18" hidden="1" customHeight="1">
      <c r="A475" s="219"/>
      <c r="B475" s="218" t="s">
        <v>81</v>
      </c>
      <c r="C475" s="241" t="s">
        <v>82</v>
      </c>
      <c r="D475" s="248">
        <f t="shared" si="34"/>
        <v>0</v>
      </c>
      <c r="E475" s="214">
        <f t="shared" si="35"/>
        <v>0</v>
      </c>
      <c r="F475" s="167">
        <f t="shared" si="33"/>
        <v>0</v>
      </c>
    </row>
    <row r="476" spans="1:6" ht="18" hidden="1" customHeight="1">
      <c r="A476" s="219"/>
      <c r="B476" s="220" t="s">
        <v>83</v>
      </c>
      <c r="C476" s="241" t="s">
        <v>84</v>
      </c>
      <c r="D476" s="248">
        <f t="shared" si="34"/>
        <v>0</v>
      </c>
      <c r="E476" s="214">
        <f t="shared" si="35"/>
        <v>0</v>
      </c>
      <c r="F476" s="167">
        <f t="shared" si="33"/>
        <v>0</v>
      </c>
    </row>
    <row r="477" spans="1:6" ht="18" hidden="1" customHeight="1">
      <c r="A477" s="219"/>
      <c r="B477" s="220" t="s">
        <v>94</v>
      </c>
      <c r="C477" s="241" t="s">
        <v>86</v>
      </c>
      <c r="D477" s="248">
        <f t="shared" si="34"/>
        <v>0</v>
      </c>
      <c r="E477" s="214">
        <f t="shared" si="35"/>
        <v>0</v>
      </c>
      <c r="F477" s="167">
        <f t="shared" si="33"/>
        <v>0</v>
      </c>
    </row>
    <row r="478" spans="1:6" ht="18" hidden="1" customHeight="1">
      <c r="A478" s="219"/>
      <c r="B478" s="220" t="s">
        <v>87</v>
      </c>
      <c r="C478" s="241" t="s">
        <v>88</v>
      </c>
      <c r="D478" s="248">
        <f t="shared" si="34"/>
        <v>0</v>
      </c>
      <c r="E478" s="214">
        <f t="shared" si="35"/>
        <v>0</v>
      </c>
      <c r="F478" s="167">
        <f t="shared" si="33"/>
        <v>0</v>
      </c>
    </row>
    <row r="479" spans="1:6" ht="18" hidden="1" customHeight="1">
      <c r="A479" s="526" t="s">
        <v>268</v>
      </c>
      <c r="B479" s="529"/>
      <c r="C479" s="241" t="s">
        <v>269</v>
      </c>
      <c r="D479" s="248">
        <f t="shared" si="34"/>
        <v>0</v>
      </c>
      <c r="E479" s="214">
        <f t="shared" si="35"/>
        <v>0</v>
      </c>
      <c r="F479" s="167">
        <f t="shared" si="33"/>
        <v>0</v>
      </c>
    </row>
    <row r="480" spans="1:6" ht="18.75" hidden="1" customHeight="1">
      <c r="A480" s="242"/>
      <c r="B480" s="243"/>
      <c r="C480" s="224"/>
      <c r="D480" s="248"/>
      <c r="E480" s="214"/>
      <c r="F480" s="167">
        <f t="shared" si="33"/>
        <v>0</v>
      </c>
    </row>
    <row r="481" spans="1:6" ht="18" customHeight="1">
      <c r="A481" s="236" t="s">
        <v>128</v>
      </c>
      <c r="B481" s="220"/>
      <c r="C481" s="224" t="s">
        <v>617</v>
      </c>
      <c r="D481" s="367">
        <f>D482</f>
        <v>30006</v>
      </c>
      <c r="E481" s="414">
        <f>E482</f>
        <v>0</v>
      </c>
      <c r="F481" s="167">
        <f t="shared" si="33"/>
        <v>30006</v>
      </c>
    </row>
    <row r="482" spans="1:6" ht="18" customHeight="1">
      <c r="A482" s="236"/>
      <c r="B482" s="220" t="s">
        <v>129</v>
      </c>
      <c r="C482" s="224" t="s">
        <v>130</v>
      </c>
      <c r="D482" s="248">
        <f>D1309+D2134</f>
        <v>30006</v>
      </c>
      <c r="E482" s="214">
        <f>E1309+E2134</f>
        <v>0</v>
      </c>
      <c r="F482" s="167">
        <f t="shared" si="33"/>
        <v>30006</v>
      </c>
    </row>
    <row r="483" spans="1:6" ht="18" customHeight="1">
      <c r="A483" s="236"/>
      <c r="B483" s="220" t="s">
        <v>351</v>
      </c>
      <c r="C483" s="224" t="s">
        <v>352</v>
      </c>
      <c r="D483" s="248">
        <f>D1310</f>
        <v>13393</v>
      </c>
      <c r="E483" s="214">
        <f>E1310</f>
        <v>0</v>
      </c>
      <c r="F483" s="167">
        <f t="shared" si="33"/>
        <v>13393</v>
      </c>
    </row>
    <row r="484" spans="1:6" ht="18" hidden="1" customHeight="1">
      <c r="A484" s="244" t="s">
        <v>131</v>
      </c>
      <c r="B484" s="475"/>
      <c r="C484" s="224" t="s">
        <v>618</v>
      </c>
      <c r="D484" s="367">
        <f>D485</f>
        <v>0</v>
      </c>
      <c r="E484" s="414">
        <f>E485</f>
        <v>0</v>
      </c>
      <c r="F484" s="167">
        <f t="shared" si="33"/>
        <v>0</v>
      </c>
    </row>
    <row r="485" spans="1:6" ht="18" hidden="1" customHeight="1">
      <c r="A485" s="244"/>
      <c r="B485" s="220" t="s">
        <v>132</v>
      </c>
      <c r="C485" s="224" t="s">
        <v>133</v>
      </c>
      <c r="D485" s="248">
        <f>D1312+D2137</f>
        <v>0</v>
      </c>
      <c r="E485" s="214">
        <f>E1312+E2137</f>
        <v>0</v>
      </c>
      <c r="F485" s="370">
        <f>F1312+F2137</f>
        <v>0</v>
      </c>
    </row>
    <row r="486" spans="1:6" ht="18" hidden="1" customHeight="1">
      <c r="A486" s="244"/>
      <c r="B486" s="220"/>
      <c r="C486" s="224"/>
      <c r="D486" s="248"/>
      <c r="E486" s="214"/>
      <c r="F486" s="167">
        <f t="shared" ref="F486:F517" si="36">D486+E486</f>
        <v>0</v>
      </c>
    </row>
    <row r="487" spans="1:6" ht="20.25">
      <c r="A487" s="263"/>
      <c r="B487" s="264" t="s">
        <v>134</v>
      </c>
      <c r="C487" s="202" t="s">
        <v>573</v>
      </c>
      <c r="D487" s="350">
        <f>D519+D529+D533+D534</f>
        <v>41249.050000000003</v>
      </c>
      <c r="E487" s="409">
        <f>E519+E529+E533+E534</f>
        <v>62000</v>
      </c>
      <c r="F487" s="167">
        <f t="shared" si="36"/>
        <v>103249.05</v>
      </c>
    </row>
    <row r="488" spans="1:6" ht="18" customHeight="1">
      <c r="A488" s="219" t="s">
        <v>917</v>
      </c>
      <c r="B488" s="474"/>
      <c r="C488" s="235" t="s">
        <v>49</v>
      </c>
      <c r="D488" s="367">
        <f>D489+D490+D491+D496+D501+D499</f>
        <v>35452.300000000003</v>
      </c>
      <c r="E488" s="414">
        <f>E489+E490+E491+E496+E501+E499</f>
        <v>62000</v>
      </c>
      <c r="F488" s="167">
        <f t="shared" si="36"/>
        <v>97452.3</v>
      </c>
    </row>
    <row r="489" spans="1:6" ht="18" hidden="1" customHeight="1">
      <c r="A489" s="204" t="s">
        <v>561</v>
      </c>
      <c r="B489" s="474"/>
      <c r="C489" s="235">
        <v>10</v>
      </c>
      <c r="D489" s="248"/>
      <c r="E489" s="214"/>
      <c r="F489" s="167">
        <f t="shared" si="36"/>
        <v>0</v>
      </c>
    </row>
    <row r="490" spans="1:6" ht="18" customHeight="1">
      <c r="A490" s="206" t="s">
        <v>562</v>
      </c>
      <c r="B490" s="474"/>
      <c r="C490" s="224">
        <v>20</v>
      </c>
      <c r="D490" s="248">
        <f>D1317</f>
        <v>3910.8</v>
      </c>
      <c r="E490" s="214">
        <f>E1317</f>
        <v>0</v>
      </c>
      <c r="F490" s="167">
        <f t="shared" si="36"/>
        <v>3910.8</v>
      </c>
    </row>
    <row r="491" spans="1:6" ht="18" customHeight="1">
      <c r="A491" s="219" t="s">
        <v>135</v>
      </c>
      <c r="B491" s="474"/>
      <c r="C491" s="235" t="s">
        <v>592</v>
      </c>
      <c r="D491" s="367">
        <f>D492+D494</f>
        <v>28308</v>
      </c>
      <c r="E491" s="414">
        <f>E492+E494</f>
        <v>-155</v>
      </c>
      <c r="F491" s="167">
        <f t="shared" si="36"/>
        <v>28153</v>
      </c>
    </row>
    <row r="492" spans="1:6" ht="18" customHeight="1">
      <c r="A492" s="219" t="s">
        <v>55</v>
      </c>
      <c r="B492" s="474"/>
      <c r="C492" s="224" t="s">
        <v>56</v>
      </c>
      <c r="D492" s="367">
        <f>D493</f>
        <v>26439</v>
      </c>
      <c r="E492" s="414">
        <f>E493</f>
        <v>-155</v>
      </c>
      <c r="F492" s="167">
        <f t="shared" si="36"/>
        <v>26284</v>
      </c>
    </row>
    <row r="493" spans="1:6" ht="18" customHeight="1">
      <c r="A493" s="215"/>
      <c r="B493" s="222" t="s">
        <v>100</v>
      </c>
      <c r="C493" s="235" t="s">
        <v>58</v>
      </c>
      <c r="D493" s="248">
        <f>D1320</f>
        <v>26439</v>
      </c>
      <c r="E493" s="214">
        <f>E1320</f>
        <v>-155</v>
      </c>
      <c r="F493" s="167">
        <f t="shared" si="36"/>
        <v>26284</v>
      </c>
    </row>
    <row r="494" spans="1:6" ht="18" customHeight="1">
      <c r="A494" s="219" t="s">
        <v>63</v>
      </c>
      <c r="B494" s="474"/>
      <c r="C494" s="224" t="s">
        <v>560</v>
      </c>
      <c r="D494" s="248">
        <f>D495</f>
        <v>1869</v>
      </c>
      <c r="E494" s="214">
        <f>E495</f>
        <v>0</v>
      </c>
      <c r="F494" s="167">
        <f t="shared" si="36"/>
        <v>1869</v>
      </c>
    </row>
    <row r="495" spans="1:6" ht="18" customHeight="1">
      <c r="A495" s="215"/>
      <c r="B495" s="222" t="s">
        <v>876</v>
      </c>
      <c r="C495" s="224" t="s">
        <v>655</v>
      </c>
      <c r="D495" s="248">
        <f>D2145</f>
        <v>1869</v>
      </c>
      <c r="E495" s="214">
        <f>E2145</f>
        <v>0</v>
      </c>
      <c r="F495" s="167">
        <f t="shared" si="36"/>
        <v>1869</v>
      </c>
    </row>
    <row r="496" spans="1:6" ht="18" hidden="1" customHeight="1">
      <c r="A496" s="219"/>
      <c r="B496" s="474"/>
      <c r="C496" s="235" t="s">
        <v>159</v>
      </c>
      <c r="D496" s="248"/>
      <c r="E496" s="214"/>
      <c r="F496" s="167">
        <f t="shared" si="36"/>
        <v>0</v>
      </c>
    </row>
    <row r="497" spans="1:6" ht="18" hidden="1" customHeight="1">
      <c r="A497" s="219" t="s">
        <v>895</v>
      </c>
      <c r="B497" s="474"/>
      <c r="C497" s="235" t="s">
        <v>67</v>
      </c>
      <c r="D497" s="248"/>
      <c r="E497" s="214"/>
      <c r="F497" s="167">
        <f t="shared" si="36"/>
        <v>0</v>
      </c>
    </row>
    <row r="498" spans="1:6" ht="18" hidden="1" customHeight="1">
      <c r="A498" s="215"/>
      <c r="B498" s="222" t="s">
        <v>624</v>
      </c>
      <c r="C498" s="235" t="s">
        <v>625</v>
      </c>
      <c r="D498" s="248"/>
      <c r="E498" s="214"/>
      <c r="F498" s="167">
        <f t="shared" si="36"/>
        <v>0</v>
      </c>
    </row>
    <row r="499" spans="1:6" ht="36" customHeight="1">
      <c r="A499" s="215"/>
      <c r="B499" s="208" t="s">
        <v>321</v>
      </c>
      <c r="C499" s="235">
        <v>56</v>
      </c>
      <c r="D499" s="248">
        <f>D2149</f>
        <v>0</v>
      </c>
      <c r="E499" s="248">
        <f>E2149</f>
        <v>62000</v>
      </c>
      <c r="F499" s="167">
        <f t="shared" si="36"/>
        <v>62000</v>
      </c>
    </row>
    <row r="500" spans="1:6" ht="18" customHeight="1">
      <c r="A500" s="215"/>
      <c r="B500" s="222" t="s">
        <v>315</v>
      </c>
      <c r="C500" s="224" t="s">
        <v>324</v>
      </c>
      <c r="D500" s="248">
        <f>D2150</f>
        <v>0</v>
      </c>
      <c r="E500" s="248">
        <f>E2150</f>
        <v>62000</v>
      </c>
      <c r="F500" s="167">
        <f t="shared" si="36"/>
        <v>62000</v>
      </c>
    </row>
    <row r="501" spans="1:6" ht="20.25">
      <c r="A501" s="237" t="s">
        <v>659</v>
      </c>
      <c r="B501" s="474"/>
      <c r="C501" s="235">
        <v>59</v>
      </c>
      <c r="D501" s="248">
        <f>D1326</f>
        <v>3233.5</v>
      </c>
      <c r="E501" s="214">
        <f>E1326</f>
        <v>155</v>
      </c>
      <c r="F501" s="167">
        <f t="shared" si="36"/>
        <v>3388.5</v>
      </c>
    </row>
    <row r="502" spans="1:6" ht="20.25" hidden="1">
      <c r="A502" s="227" t="s">
        <v>136</v>
      </c>
      <c r="B502" s="474"/>
      <c r="C502" s="235" t="s">
        <v>619</v>
      </c>
      <c r="D502" s="248"/>
      <c r="E502" s="214"/>
      <c r="F502" s="167">
        <f t="shared" si="36"/>
        <v>0</v>
      </c>
    </row>
    <row r="503" spans="1:6" ht="20.25" hidden="1">
      <c r="A503" s="227" t="s">
        <v>137</v>
      </c>
      <c r="B503" s="474"/>
      <c r="C503" s="235" t="s">
        <v>620</v>
      </c>
      <c r="D503" s="248"/>
      <c r="E503" s="214"/>
      <c r="F503" s="167">
        <f t="shared" si="36"/>
        <v>0</v>
      </c>
    </row>
    <row r="504" spans="1:6" ht="20.25" hidden="1">
      <c r="A504" s="227" t="s">
        <v>407</v>
      </c>
      <c r="B504" s="474"/>
      <c r="C504" s="235" t="s">
        <v>265</v>
      </c>
      <c r="D504" s="248"/>
      <c r="E504" s="214"/>
      <c r="F504" s="167">
        <f t="shared" si="36"/>
        <v>0</v>
      </c>
    </row>
    <row r="505" spans="1:6" ht="18" customHeight="1">
      <c r="A505" s="261" t="s">
        <v>116</v>
      </c>
      <c r="B505" s="474"/>
      <c r="C505" s="224">
        <v>70</v>
      </c>
      <c r="D505" s="248">
        <f>D506</f>
        <v>5820</v>
      </c>
      <c r="E505" s="214">
        <f>E506</f>
        <v>0</v>
      </c>
      <c r="F505" s="167">
        <f t="shared" si="36"/>
        <v>5820</v>
      </c>
    </row>
    <row r="506" spans="1:6" ht="18" customHeight="1">
      <c r="A506" s="226" t="s">
        <v>1016</v>
      </c>
      <c r="B506" s="474"/>
      <c r="C506" s="224">
        <v>71</v>
      </c>
      <c r="D506" s="248">
        <f>D2156</f>
        <v>5820</v>
      </c>
      <c r="E506" s="214">
        <f>E2156</f>
        <v>0</v>
      </c>
      <c r="F506" s="167">
        <f t="shared" si="36"/>
        <v>5820</v>
      </c>
    </row>
    <row r="507" spans="1:6" ht="18" hidden="1" customHeight="1">
      <c r="A507" s="219" t="s">
        <v>127</v>
      </c>
      <c r="B507" s="474"/>
      <c r="C507" s="224" t="s">
        <v>80</v>
      </c>
      <c r="D507" s="248"/>
      <c r="E507" s="214"/>
      <c r="F507" s="167">
        <f t="shared" si="36"/>
        <v>0</v>
      </c>
    </row>
    <row r="508" spans="1:6" ht="18" hidden="1" customHeight="1">
      <c r="A508" s="219"/>
      <c r="B508" s="218" t="s">
        <v>81</v>
      </c>
      <c r="C508" s="241" t="s">
        <v>82</v>
      </c>
      <c r="D508" s="248"/>
      <c r="E508" s="214"/>
      <c r="F508" s="167">
        <f t="shared" si="36"/>
        <v>0</v>
      </c>
    </row>
    <row r="509" spans="1:6" ht="18" hidden="1" customHeight="1">
      <c r="A509" s="219"/>
      <c r="B509" s="220" t="s">
        <v>83</v>
      </c>
      <c r="C509" s="241" t="s">
        <v>84</v>
      </c>
      <c r="D509" s="248"/>
      <c r="E509" s="214"/>
      <c r="F509" s="167">
        <f t="shared" si="36"/>
        <v>0</v>
      </c>
    </row>
    <row r="510" spans="1:6" ht="18" hidden="1" customHeight="1">
      <c r="A510" s="219"/>
      <c r="B510" s="220" t="s">
        <v>94</v>
      </c>
      <c r="C510" s="241" t="s">
        <v>86</v>
      </c>
      <c r="D510" s="248"/>
      <c r="E510" s="214"/>
      <c r="F510" s="167">
        <f t="shared" si="36"/>
        <v>0</v>
      </c>
    </row>
    <row r="511" spans="1:6" ht="18" hidden="1" customHeight="1">
      <c r="A511" s="219"/>
      <c r="B511" s="220" t="s">
        <v>87</v>
      </c>
      <c r="C511" s="241" t="s">
        <v>88</v>
      </c>
      <c r="D511" s="248"/>
      <c r="E511" s="214"/>
      <c r="F511" s="167">
        <f t="shared" si="36"/>
        <v>0</v>
      </c>
    </row>
    <row r="512" spans="1:6" ht="18" hidden="1" customHeight="1">
      <c r="A512" s="526" t="s">
        <v>268</v>
      </c>
      <c r="B512" s="529"/>
      <c r="C512" s="241" t="s">
        <v>269</v>
      </c>
      <c r="D512" s="248"/>
      <c r="E512" s="214"/>
      <c r="F512" s="167">
        <f t="shared" si="36"/>
        <v>0</v>
      </c>
    </row>
    <row r="513" spans="1:6" ht="18" hidden="1" customHeight="1">
      <c r="A513" s="215"/>
      <c r="B513" s="220"/>
      <c r="C513" s="224">
        <v>79</v>
      </c>
      <c r="D513" s="248"/>
      <c r="E513" s="214"/>
      <c r="F513" s="167">
        <f t="shared" si="36"/>
        <v>0</v>
      </c>
    </row>
    <row r="514" spans="1:6" ht="18" hidden="1" customHeight="1">
      <c r="A514" s="219"/>
      <c r="B514" s="220"/>
      <c r="C514" s="224">
        <v>81</v>
      </c>
      <c r="D514" s="248"/>
      <c r="E514" s="214"/>
      <c r="F514" s="167">
        <f t="shared" si="36"/>
        <v>0</v>
      </c>
    </row>
    <row r="515" spans="1:6" ht="18" hidden="1" customHeight="1">
      <c r="A515" s="206" t="s">
        <v>629</v>
      </c>
      <c r="B515" s="220"/>
      <c r="C515" s="224" t="s">
        <v>602</v>
      </c>
      <c r="D515" s="248"/>
      <c r="E515" s="214"/>
      <c r="F515" s="167">
        <f t="shared" si="36"/>
        <v>0</v>
      </c>
    </row>
    <row r="516" spans="1:6" ht="18" customHeight="1">
      <c r="A516" s="206" t="s">
        <v>1015</v>
      </c>
      <c r="B516" s="220"/>
      <c r="C516" s="224">
        <v>85</v>
      </c>
      <c r="D516" s="367">
        <f>D517</f>
        <v>-23.25</v>
      </c>
      <c r="E516" s="414">
        <f>E517</f>
        <v>0</v>
      </c>
      <c r="F516" s="167">
        <f t="shared" si="36"/>
        <v>-23.25</v>
      </c>
    </row>
    <row r="517" spans="1:6" ht="18" customHeight="1">
      <c r="A517" s="206"/>
      <c r="B517" s="220" t="s">
        <v>311</v>
      </c>
      <c r="C517" s="224" t="s">
        <v>312</v>
      </c>
      <c r="D517" s="248">
        <f>D1342</f>
        <v>-23.25</v>
      </c>
      <c r="E517" s="214">
        <f>E1342</f>
        <v>0</v>
      </c>
      <c r="F517" s="167">
        <f t="shared" si="36"/>
        <v>-23.25</v>
      </c>
    </row>
    <row r="518" spans="1:6" ht="18.75" hidden="1" customHeight="1">
      <c r="A518" s="242"/>
      <c r="B518" s="243"/>
      <c r="C518" s="224"/>
      <c r="D518" s="248"/>
      <c r="E518" s="214"/>
      <c r="F518" s="167">
        <f t="shared" ref="F518:F550" si="37">D518+E518</f>
        <v>0</v>
      </c>
    </row>
    <row r="519" spans="1:6" ht="18" customHeight="1">
      <c r="A519" s="273" t="s">
        <v>138</v>
      </c>
      <c r="B519" s="274"/>
      <c r="C519" s="224" t="s">
        <v>139</v>
      </c>
      <c r="D519" s="367">
        <f>SUM(D520:D528)</f>
        <v>17005.75</v>
      </c>
      <c r="E519" s="414">
        <f>SUM(E520:E528)</f>
        <v>0</v>
      </c>
      <c r="F519" s="167">
        <f t="shared" si="37"/>
        <v>17005.75</v>
      </c>
    </row>
    <row r="520" spans="1:6" ht="18" hidden="1" customHeight="1">
      <c r="A520" s="244"/>
      <c r="B520" s="220" t="s">
        <v>408</v>
      </c>
      <c r="C520" s="275" t="s">
        <v>409</v>
      </c>
      <c r="D520" s="248"/>
      <c r="E520" s="214"/>
      <c r="F520" s="167">
        <f t="shared" si="37"/>
        <v>0</v>
      </c>
    </row>
    <row r="521" spans="1:6" ht="18" hidden="1" customHeight="1">
      <c r="A521" s="244"/>
      <c r="B521" s="220" t="s">
        <v>410</v>
      </c>
      <c r="C521" s="275" t="s">
        <v>411</v>
      </c>
      <c r="D521" s="248"/>
      <c r="E521" s="214"/>
      <c r="F521" s="167">
        <f t="shared" si="37"/>
        <v>0</v>
      </c>
    </row>
    <row r="522" spans="1:6" ht="18" customHeight="1">
      <c r="A522" s="244"/>
      <c r="B522" s="220" t="s">
        <v>140</v>
      </c>
      <c r="C522" s="275" t="s">
        <v>621</v>
      </c>
      <c r="D522" s="248">
        <f>D1347+D2172</f>
        <v>16105.75</v>
      </c>
      <c r="E522" s="214">
        <f>E1347+E2172</f>
        <v>0</v>
      </c>
      <c r="F522" s="167">
        <f t="shared" si="37"/>
        <v>16105.75</v>
      </c>
    </row>
    <row r="523" spans="1:6" ht="18" hidden="1" customHeight="1">
      <c r="A523" s="244"/>
      <c r="B523" s="220" t="s">
        <v>412</v>
      </c>
      <c r="C523" s="275" t="s">
        <v>413</v>
      </c>
      <c r="D523" s="248"/>
      <c r="E523" s="214"/>
      <c r="F523" s="167">
        <f t="shared" si="37"/>
        <v>0</v>
      </c>
    </row>
    <row r="524" spans="1:6" ht="18" customHeight="1">
      <c r="A524" s="244"/>
      <c r="B524" s="220" t="s">
        <v>414</v>
      </c>
      <c r="C524" s="275" t="s">
        <v>415</v>
      </c>
      <c r="D524" s="248">
        <f>D2178</f>
        <v>100</v>
      </c>
      <c r="E524" s="214"/>
      <c r="F524" s="167">
        <f t="shared" si="37"/>
        <v>100</v>
      </c>
    </row>
    <row r="525" spans="1:6" ht="18" hidden="1" customHeight="1">
      <c r="A525" s="244"/>
      <c r="B525" s="220" t="s">
        <v>574</v>
      </c>
      <c r="C525" s="275" t="s">
        <v>575</v>
      </c>
      <c r="D525" s="248"/>
      <c r="E525" s="214"/>
      <c r="F525" s="167">
        <f t="shared" si="37"/>
        <v>0</v>
      </c>
    </row>
    <row r="526" spans="1:6" ht="18" hidden="1" customHeight="1">
      <c r="A526" s="244"/>
      <c r="B526" s="220" t="s">
        <v>416</v>
      </c>
      <c r="C526" s="275" t="s">
        <v>417</v>
      </c>
      <c r="D526" s="248"/>
      <c r="E526" s="214"/>
      <c r="F526" s="167">
        <f t="shared" si="37"/>
        <v>0</v>
      </c>
    </row>
    <row r="527" spans="1:6" ht="18" hidden="1" customHeight="1">
      <c r="A527" s="244"/>
      <c r="B527" s="220" t="s">
        <v>418</v>
      </c>
      <c r="C527" s="275" t="s">
        <v>419</v>
      </c>
      <c r="D527" s="248"/>
      <c r="E527" s="214"/>
      <c r="F527" s="167">
        <f t="shared" si="37"/>
        <v>0</v>
      </c>
    </row>
    <row r="528" spans="1:6" ht="18" customHeight="1">
      <c r="A528" s="244"/>
      <c r="B528" s="220" t="s">
        <v>420</v>
      </c>
      <c r="C528" s="275" t="s">
        <v>421</v>
      </c>
      <c r="D528" s="248">
        <f>D1353+D2179</f>
        <v>800</v>
      </c>
      <c r="E528" s="214"/>
      <c r="F528" s="167">
        <f t="shared" si="37"/>
        <v>800</v>
      </c>
    </row>
    <row r="529" spans="1:6" ht="18" customHeight="1">
      <c r="A529" s="244" t="s">
        <v>141</v>
      </c>
      <c r="B529" s="220"/>
      <c r="C529" s="224" t="s">
        <v>142</v>
      </c>
      <c r="D529" s="367">
        <f>D530+D531+D532</f>
        <v>19128.5</v>
      </c>
      <c r="E529" s="414">
        <f>E530+E531+E532</f>
        <v>62000</v>
      </c>
      <c r="F529" s="167">
        <f t="shared" si="37"/>
        <v>81128.5</v>
      </c>
    </row>
    <row r="530" spans="1:6" ht="18" customHeight="1">
      <c r="A530" s="244"/>
      <c r="B530" s="220" t="s">
        <v>576</v>
      </c>
      <c r="C530" s="275" t="s">
        <v>577</v>
      </c>
      <c r="D530" s="248">
        <f>D1355+D2181</f>
        <v>18754.5</v>
      </c>
      <c r="E530" s="214">
        <f>E1355+E2181</f>
        <v>0</v>
      </c>
      <c r="F530" s="167">
        <f t="shared" si="37"/>
        <v>18754.5</v>
      </c>
    </row>
    <row r="531" spans="1:6" ht="18" customHeight="1">
      <c r="A531" s="244"/>
      <c r="B531" s="220" t="s">
        <v>578</v>
      </c>
      <c r="C531" s="275" t="s">
        <v>579</v>
      </c>
      <c r="D531" s="248">
        <f>D1356</f>
        <v>164</v>
      </c>
      <c r="E531" s="214">
        <f>E1356</f>
        <v>0</v>
      </c>
      <c r="F531" s="167">
        <f t="shared" si="37"/>
        <v>164</v>
      </c>
    </row>
    <row r="532" spans="1:6" ht="19.5" customHeight="1">
      <c r="A532" s="244"/>
      <c r="B532" s="220" t="s">
        <v>143</v>
      </c>
      <c r="C532" s="275" t="s">
        <v>144</v>
      </c>
      <c r="D532" s="248">
        <f>D1357+D2183</f>
        <v>210</v>
      </c>
      <c r="E532" s="214">
        <f>E1357+E2183</f>
        <v>62000</v>
      </c>
      <c r="F532" s="167">
        <f t="shared" si="37"/>
        <v>62210</v>
      </c>
    </row>
    <row r="533" spans="1:6" ht="18" customHeight="1">
      <c r="A533" s="244" t="s">
        <v>422</v>
      </c>
      <c r="B533" s="396"/>
      <c r="C533" s="224" t="s">
        <v>423</v>
      </c>
      <c r="D533" s="248">
        <f>D1358</f>
        <v>1155</v>
      </c>
      <c r="E533" s="214">
        <f>E1358</f>
        <v>0</v>
      </c>
      <c r="F533" s="167">
        <f t="shared" si="37"/>
        <v>1155</v>
      </c>
    </row>
    <row r="534" spans="1:6" ht="18" customHeight="1">
      <c r="A534" s="244" t="s">
        <v>145</v>
      </c>
      <c r="B534" s="396"/>
      <c r="C534" s="224" t="s">
        <v>580</v>
      </c>
      <c r="D534" s="248">
        <f>D1359+D2185</f>
        <v>3959.8</v>
      </c>
      <c r="E534" s="214">
        <f>E1359+E2185</f>
        <v>0</v>
      </c>
      <c r="F534" s="167">
        <f t="shared" si="37"/>
        <v>3959.8</v>
      </c>
    </row>
    <row r="535" spans="1:6" ht="18" hidden="1" customHeight="1">
      <c r="A535" s="271"/>
      <c r="B535" s="474"/>
      <c r="C535" s="224"/>
      <c r="D535" s="248"/>
      <c r="E535" s="214"/>
      <c r="F535" s="167">
        <f t="shared" si="37"/>
        <v>0</v>
      </c>
    </row>
    <row r="536" spans="1:6" ht="20.25">
      <c r="A536" s="255"/>
      <c r="B536" s="264" t="s">
        <v>146</v>
      </c>
      <c r="C536" s="202" t="s">
        <v>581</v>
      </c>
      <c r="D536" s="350">
        <f>D573+D574+D576+D577+D578+D579+D582</f>
        <v>120419</v>
      </c>
      <c r="E536" s="409">
        <f>E573+E574+E576+E577+E578+E579+E582</f>
        <v>0</v>
      </c>
      <c r="F536" s="167">
        <f t="shared" si="37"/>
        <v>120419</v>
      </c>
    </row>
    <row r="537" spans="1:6" ht="18" customHeight="1">
      <c r="A537" s="247" t="s">
        <v>99</v>
      </c>
      <c r="B537" s="474"/>
      <c r="C537" s="235" t="s">
        <v>49</v>
      </c>
      <c r="D537" s="367">
        <f>D538+D539+D549+D551+D556</f>
        <v>90468</v>
      </c>
      <c r="E537" s="414">
        <f>E538+E539+E549+E551+E556</f>
        <v>0</v>
      </c>
      <c r="F537" s="167">
        <f t="shared" si="37"/>
        <v>90468</v>
      </c>
    </row>
    <row r="538" spans="1:6" ht="18" customHeight="1">
      <c r="A538" s="204" t="s">
        <v>561</v>
      </c>
      <c r="B538" s="474"/>
      <c r="C538" s="235">
        <v>10</v>
      </c>
      <c r="D538" s="248">
        <f>D1363</f>
        <v>48464</v>
      </c>
      <c r="E538" s="214">
        <f>E1363</f>
        <v>0</v>
      </c>
      <c r="F538" s="167">
        <f t="shared" si="37"/>
        <v>48464</v>
      </c>
    </row>
    <row r="539" spans="1:6" ht="20.25">
      <c r="A539" s="206" t="s">
        <v>562</v>
      </c>
      <c r="B539" s="474"/>
      <c r="C539" s="224">
        <v>20</v>
      </c>
      <c r="D539" s="248">
        <f>D1364</f>
        <v>8377</v>
      </c>
      <c r="E539" s="214">
        <f>E1364</f>
        <v>0</v>
      </c>
      <c r="F539" s="167">
        <f t="shared" si="37"/>
        <v>8377</v>
      </c>
    </row>
    <row r="540" spans="1:6" ht="18" hidden="1" customHeight="1">
      <c r="A540" s="219" t="s">
        <v>591</v>
      </c>
      <c r="B540" s="474"/>
      <c r="C540" s="235" t="s">
        <v>592</v>
      </c>
      <c r="D540" s="248"/>
      <c r="E540" s="214"/>
      <c r="F540" s="167">
        <f t="shared" si="37"/>
        <v>0</v>
      </c>
    </row>
    <row r="541" spans="1:6" ht="20.25" hidden="1">
      <c r="A541" s="215"/>
      <c r="B541" s="474"/>
      <c r="C541" s="224" t="s">
        <v>56</v>
      </c>
      <c r="D541" s="248"/>
      <c r="E541" s="214"/>
      <c r="F541" s="167">
        <f t="shared" si="37"/>
        <v>0</v>
      </c>
    </row>
    <row r="542" spans="1:6" ht="20.25" hidden="1">
      <c r="A542" s="215"/>
      <c r="B542" s="222" t="s">
        <v>100</v>
      </c>
      <c r="C542" s="235" t="s">
        <v>58</v>
      </c>
      <c r="D542" s="248"/>
      <c r="E542" s="214"/>
      <c r="F542" s="167">
        <f t="shared" si="37"/>
        <v>0</v>
      </c>
    </row>
    <row r="543" spans="1:6" ht="20.25" hidden="1">
      <c r="A543" s="219" t="s">
        <v>612</v>
      </c>
      <c r="B543" s="474"/>
      <c r="C543" s="235" t="s">
        <v>159</v>
      </c>
      <c r="D543" s="248"/>
      <c r="E543" s="214"/>
      <c r="F543" s="167">
        <f t="shared" si="37"/>
        <v>0</v>
      </c>
    </row>
    <row r="544" spans="1:6" ht="20.25" hidden="1">
      <c r="A544" s="215"/>
      <c r="B544" s="474" t="s">
        <v>353</v>
      </c>
      <c r="C544" s="235" t="s">
        <v>67</v>
      </c>
      <c r="D544" s="248"/>
      <c r="E544" s="214"/>
      <c r="F544" s="167">
        <f t="shared" si="37"/>
        <v>0</v>
      </c>
    </row>
    <row r="545" spans="1:7" ht="20.25" hidden="1">
      <c r="A545" s="215"/>
      <c r="B545" s="222" t="s">
        <v>424</v>
      </c>
      <c r="C545" s="235" t="s">
        <v>256</v>
      </c>
      <c r="D545" s="248"/>
      <c r="E545" s="214"/>
      <c r="F545" s="167">
        <f t="shared" si="37"/>
        <v>0</v>
      </c>
    </row>
    <row r="546" spans="1:7" ht="20.25" hidden="1">
      <c r="A546" s="215"/>
      <c r="B546" s="220" t="s">
        <v>285</v>
      </c>
      <c r="C546" s="224" t="s">
        <v>258</v>
      </c>
      <c r="D546" s="248"/>
      <c r="E546" s="214"/>
      <c r="F546" s="167">
        <f t="shared" si="37"/>
        <v>0</v>
      </c>
    </row>
    <row r="547" spans="1:7" ht="20.25" hidden="1">
      <c r="A547" s="215"/>
      <c r="B547" s="222" t="s">
        <v>322</v>
      </c>
      <c r="C547" s="235" t="s">
        <v>258</v>
      </c>
      <c r="D547" s="248"/>
      <c r="E547" s="214"/>
      <c r="F547" s="167">
        <f t="shared" si="37"/>
        <v>0</v>
      </c>
    </row>
    <row r="548" spans="1:7" ht="20.25">
      <c r="A548" s="546" t="s">
        <v>1065</v>
      </c>
      <c r="B548" s="529"/>
      <c r="C548" s="224">
        <v>56</v>
      </c>
      <c r="D548" s="248">
        <f t="shared" ref="D548:E550" si="38">D2199</f>
        <v>22533</v>
      </c>
      <c r="E548" s="214">
        <f t="shared" si="38"/>
        <v>0</v>
      </c>
      <c r="F548" s="167">
        <f t="shared" si="37"/>
        <v>22533</v>
      </c>
    </row>
    <row r="549" spans="1:7" s="143" customFormat="1" ht="36" hidden="1" customHeight="1">
      <c r="A549" s="556" t="s">
        <v>890</v>
      </c>
      <c r="B549" s="529"/>
      <c r="C549" s="374">
        <v>58</v>
      </c>
      <c r="D549" s="375">
        <f t="shared" si="38"/>
        <v>0</v>
      </c>
      <c r="E549" s="417">
        <f t="shared" si="38"/>
        <v>0</v>
      </c>
      <c r="F549" s="266">
        <f t="shared" si="37"/>
        <v>0</v>
      </c>
    </row>
    <row r="550" spans="1:7" ht="36" customHeight="1">
      <c r="A550" s="522" t="s">
        <v>1002</v>
      </c>
      <c r="B550" s="529"/>
      <c r="C550" s="224">
        <v>60</v>
      </c>
      <c r="D550" s="248">
        <f t="shared" si="38"/>
        <v>4810</v>
      </c>
      <c r="E550" s="214">
        <f t="shared" si="38"/>
        <v>0</v>
      </c>
      <c r="F550" s="167">
        <f t="shared" si="37"/>
        <v>4810</v>
      </c>
    </row>
    <row r="551" spans="1:7" ht="20.25">
      <c r="A551" s="219" t="s">
        <v>316</v>
      </c>
      <c r="B551" s="474"/>
      <c r="C551" s="235">
        <v>57</v>
      </c>
      <c r="D551" s="248">
        <f>D552</f>
        <v>32188</v>
      </c>
      <c r="E551" s="214">
        <f>E552</f>
        <v>0</v>
      </c>
      <c r="F551" s="167">
        <f t="shared" ref="F551:F572" si="39">D551+E551</f>
        <v>32188</v>
      </c>
    </row>
    <row r="552" spans="1:7" ht="18" customHeight="1">
      <c r="A552" s="225" t="s">
        <v>147</v>
      </c>
      <c r="B552" s="474"/>
      <c r="C552" s="235" t="s">
        <v>70</v>
      </c>
      <c r="D552" s="367">
        <f>D553+D554+D555</f>
        <v>32188</v>
      </c>
      <c r="E552" s="414">
        <f>E553+E554+E555</f>
        <v>0</v>
      </c>
      <c r="F552" s="167">
        <f t="shared" si="39"/>
        <v>32188</v>
      </c>
    </row>
    <row r="553" spans="1:7" ht="18" hidden="1" customHeight="1">
      <c r="A553" s="215"/>
      <c r="B553" s="475" t="s">
        <v>71</v>
      </c>
      <c r="C553" s="235" t="s">
        <v>72</v>
      </c>
      <c r="D553" s="248">
        <f>D1377</f>
        <v>0</v>
      </c>
      <c r="E553" s="214">
        <f>E1377</f>
        <v>0</v>
      </c>
      <c r="F553" s="167">
        <f t="shared" si="39"/>
        <v>0</v>
      </c>
      <c r="G553" s="139" t="s">
        <v>989</v>
      </c>
    </row>
    <row r="554" spans="1:7" ht="20.25" hidden="1">
      <c r="A554" s="215"/>
      <c r="B554" s="475" t="s">
        <v>126</v>
      </c>
      <c r="C554" s="235" t="s">
        <v>74</v>
      </c>
      <c r="D554" s="248">
        <f>D1378</f>
        <v>32188</v>
      </c>
      <c r="E554" s="248">
        <f>E1378</f>
        <v>0</v>
      </c>
      <c r="F554" s="167">
        <f t="shared" si="39"/>
        <v>32188</v>
      </c>
    </row>
    <row r="555" spans="1:7" ht="20.25" hidden="1">
      <c r="A555" s="215"/>
      <c r="B555" s="475" t="s">
        <v>314</v>
      </c>
      <c r="C555" s="224" t="s">
        <v>292</v>
      </c>
      <c r="D555" s="248"/>
      <c r="E555" s="214"/>
      <c r="F555" s="167">
        <f t="shared" si="39"/>
        <v>0</v>
      </c>
    </row>
    <row r="556" spans="1:7" ht="18" customHeight="1">
      <c r="A556" s="237" t="s">
        <v>659</v>
      </c>
      <c r="B556" s="474"/>
      <c r="C556" s="235">
        <v>59</v>
      </c>
      <c r="D556" s="248">
        <f>D1380</f>
        <v>1439</v>
      </c>
      <c r="E556" s="214">
        <f>E1380</f>
        <v>0</v>
      </c>
      <c r="F556" s="167">
        <f t="shared" si="39"/>
        <v>1439</v>
      </c>
    </row>
    <row r="557" spans="1:7" ht="20.25" hidden="1">
      <c r="A557" s="227" t="s">
        <v>136</v>
      </c>
      <c r="B557" s="474"/>
      <c r="C557" s="235" t="s">
        <v>619</v>
      </c>
      <c r="D557" s="248"/>
      <c r="E557" s="214"/>
      <c r="F557" s="167">
        <f t="shared" si="39"/>
        <v>0</v>
      </c>
    </row>
    <row r="558" spans="1:7" ht="20.25">
      <c r="A558" s="261" t="s">
        <v>116</v>
      </c>
      <c r="B558" s="474"/>
      <c r="C558" s="224">
        <v>70</v>
      </c>
      <c r="D558" s="367">
        <f>D559</f>
        <v>2608</v>
      </c>
      <c r="E558" s="414">
        <f>E559</f>
        <v>0</v>
      </c>
      <c r="F558" s="167">
        <f t="shared" si="39"/>
        <v>2608</v>
      </c>
    </row>
    <row r="559" spans="1:7" ht="20.25">
      <c r="A559" s="226" t="s">
        <v>1016</v>
      </c>
      <c r="B559" s="474"/>
      <c r="C559" s="224">
        <v>71</v>
      </c>
      <c r="D559" s="248">
        <f>D2210</f>
        <v>2608</v>
      </c>
      <c r="E559" s="214">
        <f>E2210</f>
        <v>0</v>
      </c>
      <c r="F559" s="167">
        <f t="shared" si="39"/>
        <v>2608</v>
      </c>
    </row>
    <row r="560" spans="1:7" ht="18" hidden="1" customHeight="1">
      <c r="A560" s="219" t="s">
        <v>127</v>
      </c>
      <c r="B560" s="474"/>
      <c r="C560" s="224" t="s">
        <v>80</v>
      </c>
      <c r="D560" s="248"/>
      <c r="E560" s="214"/>
      <c r="F560" s="167">
        <f t="shared" si="39"/>
        <v>0</v>
      </c>
    </row>
    <row r="561" spans="1:6" ht="20.25" hidden="1">
      <c r="A561" s="219"/>
      <c r="B561" s="218" t="s">
        <v>81</v>
      </c>
      <c r="C561" s="241" t="s">
        <v>82</v>
      </c>
      <c r="D561" s="248"/>
      <c r="E561" s="214"/>
      <c r="F561" s="167">
        <f t="shared" si="39"/>
        <v>0</v>
      </c>
    </row>
    <row r="562" spans="1:6" ht="20.25" hidden="1">
      <c r="A562" s="219"/>
      <c r="B562" s="220" t="s">
        <v>83</v>
      </c>
      <c r="C562" s="241" t="s">
        <v>84</v>
      </c>
      <c r="D562" s="248"/>
      <c r="E562" s="214"/>
      <c r="F562" s="167">
        <f t="shared" si="39"/>
        <v>0</v>
      </c>
    </row>
    <row r="563" spans="1:6" ht="20.25" hidden="1">
      <c r="A563" s="219"/>
      <c r="B563" s="220" t="s">
        <v>94</v>
      </c>
      <c r="C563" s="241" t="s">
        <v>86</v>
      </c>
      <c r="D563" s="248"/>
      <c r="E563" s="214"/>
      <c r="F563" s="167">
        <f t="shared" si="39"/>
        <v>0</v>
      </c>
    </row>
    <row r="564" spans="1:6" ht="20.25" hidden="1">
      <c r="A564" s="219"/>
      <c r="B564" s="220" t="s">
        <v>87</v>
      </c>
      <c r="C564" s="241" t="s">
        <v>88</v>
      </c>
      <c r="D564" s="248"/>
      <c r="E564" s="214"/>
      <c r="F564" s="167">
        <f t="shared" si="39"/>
        <v>0</v>
      </c>
    </row>
    <row r="565" spans="1:6" ht="20.25" hidden="1">
      <c r="A565" s="526" t="s">
        <v>268</v>
      </c>
      <c r="B565" s="529"/>
      <c r="C565" s="241" t="s">
        <v>269</v>
      </c>
      <c r="D565" s="248"/>
      <c r="E565" s="214"/>
      <c r="F565" s="167">
        <f t="shared" si="39"/>
        <v>0</v>
      </c>
    </row>
    <row r="566" spans="1:6" ht="20.25" hidden="1">
      <c r="A566" s="215"/>
      <c r="B566" s="220"/>
      <c r="C566" s="224">
        <v>79</v>
      </c>
      <c r="D566" s="248">
        <f>D567</f>
        <v>0</v>
      </c>
      <c r="E566" s="214">
        <f>E567</f>
        <v>0</v>
      </c>
      <c r="F566" s="167">
        <f t="shared" si="39"/>
        <v>0</v>
      </c>
    </row>
    <row r="567" spans="1:6" ht="24" hidden="1" customHeight="1">
      <c r="A567" s="549" t="s">
        <v>660</v>
      </c>
      <c r="B567" s="529"/>
      <c r="C567" s="224">
        <v>81</v>
      </c>
      <c r="D567" s="248">
        <f>D2218</f>
        <v>0</v>
      </c>
      <c r="E567" s="214">
        <f>E2218</f>
        <v>0</v>
      </c>
      <c r="F567" s="167">
        <f t="shared" si="39"/>
        <v>0</v>
      </c>
    </row>
    <row r="568" spans="1:6" ht="20.25" hidden="1">
      <c r="A568" s="206" t="s">
        <v>629</v>
      </c>
      <c r="B568" s="220"/>
      <c r="C568" s="224" t="s">
        <v>602</v>
      </c>
      <c r="D568" s="248">
        <v>0</v>
      </c>
      <c r="E568" s="214">
        <v>0</v>
      </c>
      <c r="F568" s="167">
        <f t="shared" si="39"/>
        <v>0</v>
      </c>
    </row>
    <row r="569" spans="1:6" ht="34.5" hidden="1" customHeight="1">
      <c r="A569" s="524" t="s">
        <v>887</v>
      </c>
      <c r="B569" s="529"/>
      <c r="C569" s="224">
        <v>81.040000000000006</v>
      </c>
      <c r="D569" s="248">
        <f>D2220</f>
        <v>0</v>
      </c>
      <c r="E569" s="214">
        <f>E2220</f>
        <v>0</v>
      </c>
      <c r="F569" s="167">
        <f t="shared" si="39"/>
        <v>0</v>
      </c>
    </row>
    <row r="570" spans="1:6" ht="18" hidden="1" customHeight="1">
      <c r="A570" s="206" t="s">
        <v>661</v>
      </c>
      <c r="B570" s="220"/>
      <c r="C570" s="224">
        <v>85</v>
      </c>
      <c r="D570" s="367">
        <f>D571</f>
        <v>0</v>
      </c>
      <c r="E570" s="414">
        <f>E571</f>
        <v>0</v>
      </c>
      <c r="F570" s="167">
        <f t="shared" si="39"/>
        <v>0</v>
      </c>
    </row>
    <row r="571" spans="1:6" ht="18" hidden="1" customHeight="1">
      <c r="A571" s="206"/>
      <c r="B571" s="220" t="s">
        <v>311</v>
      </c>
      <c r="C571" s="224" t="s">
        <v>312</v>
      </c>
      <c r="D571" s="248">
        <f>D1394+D2222</f>
        <v>0</v>
      </c>
      <c r="E571" s="214">
        <f>E1394+E2222</f>
        <v>0</v>
      </c>
      <c r="F571" s="167">
        <f t="shared" si="39"/>
        <v>0</v>
      </c>
    </row>
    <row r="572" spans="1:6" ht="18.75" hidden="1" customHeight="1">
      <c r="A572" s="242"/>
      <c r="B572" s="243"/>
      <c r="C572" s="224"/>
      <c r="D572" s="248"/>
      <c r="E572" s="214"/>
      <c r="F572" s="167">
        <f t="shared" si="39"/>
        <v>0</v>
      </c>
    </row>
    <row r="573" spans="1:6" ht="20.25">
      <c r="A573" s="244" t="s">
        <v>582</v>
      </c>
      <c r="B573" s="475"/>
      <c r="C573" s="224" t="s">
        <v>583</v>
      </c>
      <c r="D573" s="248">
        <f>D1396+D2224</f>
        <v>5203</v>
      </c>
      <c r="E573" s="214">
        <f>E1396+E2224</f>
        <v>0</v>
      </c>
      <c r="F573" s="357">
        <f>F1396+F2224</f>
        <v>5203</v>
      </c>
    </row>
    <row r="574" spans="1:6" ht="18" customHeight="1">
      <c r="A574" s="236" t="s">
        <v>148</v>
      </c>
      <c r="B574" s="475"/>
      <c r="C574" s="224" t="s">
        <v>149</v>
      </c>
      <c r="D574" s="367">
        <f>D575</f>
        <v>51380</v>
      </c>
      <c r="E574" s="414">
        <f>E575</f>
        <v>0</v>
      </c>
      <c r="F574" s="167">
        <f t="shared" ref="F574:F623" si="40">D574+E574</f>
        <v>51380</v>
      </c>
    </row>
    <row r="575" spans="1:6" ht="18" customHeight="1">
      <c r="A575" s="236"/>
      <c r="B575" s="475" t="s">
        <v>150</v>
      </c>
      <c r="C575" s="224" t="s">
        <v>630</v>
      </c>
      <c r="D575" s="248">
        <f>D1398</f>
        <v>51380</v>
      </c>
      <c r="E575" s="214">
        <f>E1398</f>
        <v>0</v>
      </c>
      <c r="F575" s="167">
        <f t="shared" si="40"/>
        <v>51380</v>
      </c>
    </row>
    <row r="576" spans="1:6" ht="18" customHeight="1">
      <c r="A576" s="236" t="s">
        <v>151</v>
      </c>
      <c r="B576" s="220"/>
      <c r="C576" s="224" t="s">
        <v>152</v>
      </c>
      <c r="D576" s="248">
        <f>D1399+D2227</f>
        <v>5900</v>
      </c>
      <c r="E576" s="214">
        <f>E1399+E2227</f>
        <v>0</v>
      </c>
      <c r="F576" s="167">
        <f t="shared" si="40"/>
        <v>5900</v>
      </c>
    </row>
    <row r="577" spans="1:6" ht="18" hidden="1" customHeight="1">
      <c r="A577" s="236" t="s">
        <v>425</v>
      </c>
      <c r="B577" s="220"/>
      <c r="C577" s="224" t="s">
        <v>426</v>
      </c>
      <c r="D577" s="248"/>
      <c r="E577" s="214"/>
      <c r="F577" s="167">
        <f t="shared" si="40"/>
        <v>0</v>
      </c>
    </row>
    <row r="578" spans="1:6" ht="18" customHeight="1">
      <c r="A578" s="236" t="s">
        <v>153</v>
      </c>
      <c r="B578" s="220"/>
      <c r="C578" s="224" t="s">
        <v>584</v>
      </c>
      <c r="D578" s="248">
        <f>D1401+D2229</f>
        <v>0</v>
      </c>
      <c r="E578" s="214">
        <f>E1401+E2229</f>
        <v>0</v>
      </c>
      <c r="F578" s="167">
        <f t="shared" si="40"/>
        <v>0</v>
      </c>
    </row>
    <row r="579" spans="1:6" ht="18" customHeight="1">
      <c r="A579" s="236" t="s">
        <v>154</v>
      </c>
      <c r="B579" s="220"/>
      <c r="C579" s="224" t="s">
        <v>155</v>
      </c>
      <c r="D579" s="367">
        <f>D580+D581</f>
        <v>6122</v>
      </c>
      <c r="E579" s="414">
        <f>E580+E581</f>
        <v>0</v>
      </c>
      <c r="F579" s="167">
        <f t="shared" si="40"/>
        <v>6122</v>
      </c>
    </row>
    <row r="580" spans="1:6" ht="18" customHeight="1">
      <c r="A580" s="236"/>
      <c r="B580" s="475" t="s">
        <v>156</v>
      </c>
      <c r="C580" s="224" t="s">
        <v>585</v>
      </c>
      <c r="D580" s="248">
        <f>D1403</f>
        <v>880</v>
      </c>
      <c r="E580" s="214">
        <f>E1403</f>
        <v>0</v>
      </c>
      <c r="F580" s="167">
        <f t="shared" si="40"/>
        <v>880</v>
      </c>
    </row>
    <row r="581" spans="1:6" ht="18" customHeight="1">
      <c r="A581" s="236"/>
      <c r="B581" s="475" t="s">
        <v>586</v>
      </c>
      <c r="C581" s="224" t="s">
        <v>587</v>
      </c>
      <c r="D581" s="248">
        <f>D1404+D2232</f>
        <v>5242</v>
      </c>
      <c r="E581" s="214">
        <f>E1404+E2232</f>
        <v>0</v>
      </c>
      <c r="F581" s="167">
        <f t="shared" si="40"/>
        <v>5242</v>
      </c>
    </row>
    <row r="582" spans="1:6" ht="20.25">
      <c r="A582" s="244" t="s">
        <v>588</v>
      </c>
      <c r="B582" s="220"/>
      <c r="C582" s="224" t="s">
        <v>589</v>
      </c>
      <c r="D582" s="248">
        <f>D1405+D2233</f>
        <v>51814</v>
      </c>
      <c r="E582" s="214">
        <f>E1405+E2233</f>
        <v>0</v>
      </c>
      <c r="F582" s="167">
        <f t="shared" si="40"/>
        <v>51814</v>
      </c>
    </row>
    <row r="583" spans="1:6" ht="20.25" hidden="1">
      <c r="A583" s="271"/>
      <c r="B583" s="474"/>
      <c r="C583" s="224"/>
      <c r="D583" s="248"/>
      <c r="E583" s="214"/>
      <c r="F583" s="167">
        <f t="shared" si="40"/>
        <v>0</v>
      </c>
    </row>
    <row r="584" spans="1:6" ht="20.25" hidden="1">
      <c r="A584" s="263"/>
      <c r="B584" s="475"/>
      <c r="C584" s="224" t="s">
        <v>157</v>
      </c>
      <c r="D584" s="248"/>
      <c r="E584" s="214"/>
      <c r="F584" s="167">
        <f t="shared" si="40"/>
        <v>0</v>
      </c>
    </row>
    <row r="585" spans="1:6" ht="20.25">
      <c r="A585" s="263"/>
      <c r="B585" s="264" t="s">
        <v>158</v>
      </c>
      <c r="C585" s="202" t="s">
        <v>590</v>
      </c>
      <c r="D585" s="350">
        <f>D628+D631+D634+D635+D636</f>
        <v>232473.98</v>
      </c>
      <c r="E585" s="409">
        <f>E628+E631+E634+E635+E636</f>
        <v>106</v>
      </c>
      <c r="F585" s="167">
        <f t="shared" si="40"/>
        <v>232579.98</v>
      </c>
    </row>
    <row r="586" spans="1:6" ht="20.25">
      <c r="A586" s="247" t="s">
        <v>896</v>
      </c>
      <c r="B586" s="474"/>
      <c r="C586" s="235" t="s">
        <v>49</v>
      </c>
      <c r="D586" s="367">
        <f>D588+D589+D594+D601+D606+D604</f>
        <v>77089.77</v>
      </c>
      <c r="E586" s="414">
        <f>E588+E589+E594+E601+E606+E604</f>
        <v>0</v>
      </c>
      <c r="F586" s="167">
        <f t="shared" si="40"/>
        <v>77089.77</v>
      </c>
    </row>
    <row r="587" spans="1:6" ht="18" hidden="1" customHeight="1">
      <c r="A587" s="204" t="s">
        <v>561</v>
      </c>
      <c r="B587" s="474"/>
      <c r="C587" s="235">
        <v>10</v>
      </c>
      <c r="D587" s="248"/>
      <c r="E587" s="214"/>
      <c r="F587" s="167">
        <f t="shared" si="40"/>
        <v>0</v>
      </c>
    </row>
    <row r="588" spans="1:6" ht="18" customHeight="1">
      <c r="A588" s="206" t="s">
        <v>562</v>
      </c>
      <c r="B588" s="474"/>
      <c r="C588" s="224">
        <v>20</v>
      </c>
      <c r="D588" s="248">
        <f>D1411</f>
        <v>22328.91</v>
      </c>
      <c r="E588" s="214">
        <f>E1411</f>
        <v>0</v>
      </c>
      <c r="F588" s="167">
        <f t="shared" si="40"/>
        <v>22328.91</v>
      </c>
    </row>
    <row r="589" spans="1:6" ht="18" customHeight="1">
      <c r="A589" s="219" t="s">
        <v>591</v>
      </c>
      <c r="B589" s="474"/>
      <c r="C589" s="235" t="s">
        <v>592</v>
      </c>
      <c r="D589" s="367">
        <f>D590+D592</f>
        <v>30100</v>
      </c>
      <c r="E589" s="414">
        <f>E590+E592</f>
        <v>0</v>
      </c>
      <c r="F589" s="167">
        <f t="shared" si="40"/>
        <v>30100</v>
      </c>
    </row>
    <row r="590" spans="1:6" ht="18" customHeight="1">
      <c r="A590" s="219" t="s">
        <v>55</v>
      </c>
      <c r="B590" s="474"/>
      <c r="C590" s="224" t="s">
        <v>56</v>
      </c>
      <c r="D590" s="367">
        <f>D591</f>
        <v>30100</v>
      </c>
      <c r="E590" s="414">
        <f>E591</f>
        <v>0</v>
      </c>
      <c r="F590" s="167">
        <f t="shared" si="40"/>
        <v>30100</v>
      </c>
    </row>
    <row r="591" spans="1:6" ht="18" customHeight="1">
      <c r="A591" s="215"/>
      <c r="B591" s="222" t="s">
        <v>100</v>
      </c>
      <c r="C591" s="224" t="s">
        <v>58</v>
      </c>
      <c r="D591" s="248">
        <f>D1414</f>
        <v>30100</v>
      </c>
      <c r="E591" s="214">
        <f>E1414</f>
        <v>0</v>
      </c>
      <c r="F591" s="167">
        <f t="shared" si="40"/>
        <v>30100</v>
      </c>
    </row>
    <row r="592" spans="1:6" ht="18" hidden="1" customHeight="1">
      <c r="A592" s="219" t="s">
        <v>63</v>
      </c>
      <c r="B592" s="474"/>
      <c r="C592" s="224" t="s">
        <v>560</v>
      </c>
      <c r="D592" s="248">
        <f>D593</f>
        <v>0</v>
      </c>
      <c r="E592" s="214">
        <f>E593</f>
        <v>0</v>
      </c>
      <c r="F592" s="167">
        <f t="shared" si="40"/>
        <v>0</v>
      </c>
    </row>
    <row r="593" spans="1:6" ht="18" hidden="1" customHeight="1">
      <c r="A593" s="215"/>
      <c r="B593" s="222" t="s">
        <v>876</v>
      </c>
      <c r="C593" s="224" t="s">
        <v>655</v>
      </c>
      <c r="D593" s="248">
        <f>D2242</f>
        <v>0</v>
      </c>
      <c r="E593" s="214">
        <f>E2242</f>
        <v>0</v>
      </c>
      <c r="F593" s="167">
        <f t="shared" si="40"/>
        <v>0</v>
      </c>
    </row>
    <row r="594" spans="1:6" ht="18" customHeight="1">
      <c r="A594" s="219" t="s">
        <v>623</v>
      </c>
      <c r="B594" s="474"/>
      <c r="C594" s="235" t="s">
        <v>159</v>
      </c>
      <c r="D594" s="367">
        <f>D595</f>
        <v>11155.86</v>
      </c>
      <c r="E594" s="414">
        <f>E595</f>
        <v>0</v>
      </c>
      <c r="F594" s="167">
        <f t="shared" si="40"/>
        <v>11155.86</v>
      </c>
    </row>
    <row r="595" spans="1:6" ht="18" customHeight="1">
      <c r="A595" s="219" t="s">
        <v>160</v>
      </c>
      <c r="B595" s="474"/>
      <c r="C595" s="235" t="s">
        <v>67</v>
      </c>
      <c r="D595" s="367">
        <f>D596+D597+D598+D599+D600</f>
        <v>11155.86</v>
      </c>
      <c r="E595" s="414">
        <f>E596+E597+E598+E599+E600</f>
        <v>0</v>
      </c>
      <c r="F595" s="167">
        <f t="shared" si="40"/>
        <v>11155.86</v>
      </c>
    </row>
    <row r="596" spans="1:6" ht="18" hidden="1" customHeight="1">
      <c r="A596" s="219"/>
      <c r="B596" s="220" t="s">
        <v>346</v>
      </c>
      <c r="C596" s="224" t="s">
        <v>325</v>
      </c>
      <c r="D596" s="248"/>
      <c r="E596" s="214"/>
      <c r="F596" s="167">
        <f t="shared" si="40"/>
        <v>0</v>
      </c>
    </row>
    <row r="597" spans="1:6" ht="20.25" hidden="1">
      <c r="A597" s="215"/>
      <c r="B597" s="220" t="s">
        <v>68</v>
      </c>
      <c r="C597" s="224" t="s">
        <v>622</v>
      </c>
      <c r="D597" s="248">
        <f>D2246</f>
        <v>0</v>
      </c>
      <c r="E597" s="214">
        <f>E2246</f>
        <v>0</v>
      </c>
      <c r="F597" s="167">
        <f t="shared" si="40"/>
        <v>0</v>
      </c>
    </row>
    <row r="598" spans="1:6" ht="18" hidden="1" customHeight="1">
      <c r="A598" s="215"/>
      <c r="B598" s="220" t="s">
        <v>624</v>
      </c>
      <c r="C598" s="224" t="s">
        <v>625</v>
      </c>
      <c r="D598" s="248">
        <f>D1419</f>
        <v>0</v>
      </c>
      <c r="E598" s="214">
        <f>E1419</f>
        <v>0</v>
      </c>
      <c r="F598" s="167">
        <f t="shared" si="40"/>
        <v>0</v>
      </c>
    </row>
    <row r="599" spans="1:6" ht="18" customHeight="1">
      <c r="A599" s="215"/>
      <c r="B599" s="220" t="s">
        <v>879</v>
      </c>
      <c r="C599" s="224" t="s">
        <v>662</v>
      </c>
      <c r="D599" s="248">
        <f>D1420</f>
        <v>10488</v>
      </c>
      <c r="E599" s="214">
        <f>E1420</f>
        <v>0</v>
      </c>
      <c r="F599" s="167">
        <f t="shared" si="40"/>
        <v>10488</v>
      </c>
    </row>
    <row r="600" spans="1:6" ht="18" customHeight="1">
      <c r="A600" s="286"/>
      <c r="B600" s="222" t="s">
        <v>347</v>
      </c>
      <c r="C600" s="224" t="s">
        <v>329</v>
      </c>
      <c r="D600" s="248">
        <f>D2247</f>
        <v>667.86</v>
      </c>
      <c r="E600" s="214">
        <f>E2247</f>
        <v>0</v>
      </c>
      <c r="F600" s="167">
        <f t="shared" si="40"/>
        <v>667.86</v>
      </c>
    </row>
    <row r="601" spans="1:6" ht="36" hidden="1" customHeight="1">
      <c r="A601" s="520" t="s">
        <v>321</v>
      </c>
      <c r="B601" s="529"/>
      <c r="C601" s="235">
        <v>56</v>
      </c>
      <c r="D601" s="367">
        <f>D2248</f>
        <v>0</v>
      </c>
      <c r="E601" s="414">
        <f>E2248</f>
        <v>0</v>
      </c>
      <c r="F601" s="167">
        <f t="shared" si="40"/>
        <v>0</v>
      </c>
    </row>
    <row r="602" spans="1:6" ht="18" hidden="1" customHeight="1">
      <c r="A602" s="215"/>
      <c r="B602" s="222" t="s">
        <v>315</v>
      </c>
      <c r="C602" s="224" t="s">
        <v>324</v>
      </c>
      <c r="D602" s="248"/>
      <c r="E602" s="214"/>
      <c r="F602" s="167">
        <f t="shared" si="40"/>
        <v>0</v>
      </c>
    </row>
    <row r="603" spans="1:6" ht="18" customHeight="1">
      <c r="A603" s="546" t="s">
        <v>1065</v>
      </c>
      <c r="B603" s="529"/>
      <c r="C603" s="224">
        <v>56</v>
      </c>
      <c r="D603" s="248">
        <f t="shared" ref="D603:E605" si="41">D2250</f>
        <v>60316</v>
      </c>
      <c r="E603" s="214">
        <f t="shared" si="41"/>
        <v>0</v>
      </c>
      <c r="F603" s="167">
        <f t="shared" si="40"/>
        <v>60316</v>
      </c>
    </row>
    <row r="604" spans="1:6" s="143" customFormat="1" ht="42.75" customHeight="1">
      <c r="A604" s="556" t="s">
        <v>890</v>
      </c>
      <c r="B604" s="529"/>
      <c r="C604" s="276">
        <v>58</v>
      </c>
      <c r="D604" s="375">
        <f t="shared" si="41"/>
        <v>13505</v>
      </c>
      <c r="E604" s="417">
        <f t="shared" si="41"/>
        <v>0</v>
      </c>
      <c r="F604" s="266">
        <f t="shared" si="40"/>
        <v>13505</v>
      </c>
    </row>
    <row r="605" spans="1:6" ht="36.75" customHeight="1">
      <c r="A605" s="550" t="s">
        <v>1002</v>
      </c>
      <c r="B605" s="529"/>
      <c r="C605" s="395">
        <v>60</v>
      </c>
      <c r="D605" s="375">
        <f t="shared" si="41"/>
        <v>6736</v>
      </c>
      <c r="E605" s="417">
        <f t="shared" si="41"/>
        <v>0</v>
      </c>
      <c r="F605" s="266">
        <f t="shared" si="40"/>
        <v>6736</v>
      </c>
    </row>
    <row r="606" spans="1:6" ht="18" hidden="1" customHeight="1">
      <c r="A606" s="237" t="s">
        <v>659</v>
      </c>
      <c r="B606" s="222"/>
      <c r="C606" s="224">
        <v>59</v>
      </c>
      <c r="D606" s="248">
        <f>D607</f>
        <v>0</v>
      </c>
      <c r="E606" s="214">
        <f>E607</f>
        <v>0</v>
      </c>
      <c r="F606" s="266">
        <f t="shared" si="40"/>
        <v>0</v>
      </c>
    </row>
    <row r="607" spans="1:6" ht="18" hidden="1" customHeight="1">
      <c r="A607" s="215"/>
      <c r="B607" s="222" t="s">
        <v>897</v>
      </c>
      <c r="C607" s="224" t="s">
        <v>267</v>
      </c>
      <c r="D607" s="248">
        <f>D1424</f>
        <v>0</v>
      </c>
      <c r="E607" s="214">
        <f>E1424</f>
        <v>0</v>
      </c>
      <c r="F607" s="266">
        <f t="shared" si="40"/>
        <v>0</v>
      </c>
    </row>
    <row r="608" spans="1:6" ht="39.75" customHeight="1">
      <c r="A608" s="522" t="s">
        <v>1013</v>
      </c>
      <c r="B608" s="529"/>
      <c r="C608" s="224">
        <v>61</v>
      </c>
      <c r="D608" s="248">
        <f>D2253</f>
        <v>56580</v>
      </c>
      <c r="E608" s="214">
        <f>E2253</f>
        <v>0</v>
      </c>
      <c r="F608" s="266">
        <f t="shared" si="40"/>
        <v>56580</v>
      </c>
    </row>
    <row r="609" spans="1:6" ht="18" customHeight="1">
      <c r="A609" s="261" t="s">
        <v>116</v>
      </c>
      <c r="B609" s="474"/>
      <c r="C609" s="224">
        <v>70</v>
      </c>
      <c r="D609" s="367">
        <f>D610</f>
        <v>23339</v>
      </c>
      <c r="E609" s="414">
        <f>E610</f>
        <v>106</v>
      </c>
      <c r="F609" s="167">
        <f t="shared" si="40"/>
        <v>23445</v>
      </c>
    </row>
    <row r="610" spans="1:6" ht="18" customHeight="1">
      <c r="A610" s="226" t="s">
        <v>1019</v>
      </c>
      <c r="B610" s="474"/>
      <c r="C610" s="224">
        <v>71</v>
      </c>
      <c r="D610" s="248">
        <f>D2255</f>
        <v>23339</v>
      </c>
      <c r="E610" s="214">
        <f>E2255</f>
        <v>106</v>
      </c>
      <c r="F610" s="167">
        <f t="shared" si="40"/>
        <v>23445</v>
      </c>
    </row>
    <row r="611" spans="1:6" ht="18" hidden="1" customHeight="1">
      <c r="A611" s="219" t="s">
        <v>110</v>
      </c>
      <c r="B611" s="474"/>
      <c r="C611" s="224" t="s">
        <v>80</v>
      </c>
      <c r="D611" s="248"/>
      <c r="E611" s="214"/>
      <c r="F611" s="167">
        <f t="shared" si="40"/>
        <v>0</v>
      </c>
    </row>
    <row r="612" spans="1:6" ht="18" hidden="1" customHeight="1">
      <c r="A612" s="219"/>
      <c r="B612" s="218" t="s">
        <v>81</v>
      </c>
      <c r="C612" s="241" t="s">
        <v>82</v>
      </c>
      <c r="D612" s="248"/>
      <c r="E612" s="214"/>
      <c r="F612" s="167">
        <f t="shared" si="40"/>
        <v>0</v>
      </c>
    </row>
    <row r="613" spans="1:6" ht="18" hidden="1" customHeight="1">
      <c r="A613" s="219"/>
      <c r="B613" s="220" t="s">
        <v>83</v>
      </c>
      <c r="C613" s="241" t="s">
        <v>84</v>
      </c>
      <c r="D613" s="248"/>
      <c r="E613" s="214"/>
      <c r="F613" s="167">
        <f t="shared" si="40"/>
        <v>0</v>
      </c>
    </row>
    <row r="614" spans="1:6" ht="18" hidden="1" customHeight="1">
      <c r="A614" s="219"/>
      <c r="B614" s="220" t="s">
        <v>94</v>
      </c>
      <c r="C614" s="241" t="s">
        <v>86</v>
      </c>
      <c r="D614" s="248"/>
      <c r="E614" s="214"/>
      <c r="F614" s="167">
        <f t="shared" si="40"/>
        <v>0</v>
      </c>
    </row>
    <row r="615" spans="1:6" ht="18" hidden="1" customHeight="1">
      <c r="A615" s="219"/>
      <c r="B615" s="220" t="s">
        <v>87</v>
      </c>
      <c r="C615" s="241" t="s">
        <v>88</v>
      </c>
      <c r="D615" s="248"/>
      <c r="E615" s="214"/>
      <c r="F615" s="167">
        <f t="shared" si="40"/>
        <v>0</v>
      </c>
    </row>
    <row r="616" spans="1:6" ht="20.25" hidden="1">
      <c r="A616" s="526" t="s">
        <v>268</v>
      </c>
      <c r="B616" s="529"/>
      <c r="C616" s="241" t="s">
        <v>269</v>
      </c>
      <c r="D616" s="248"/>
      <c r="E616" s="214"/>
      <c r="F616" s="167">
        <f t="shared" si="40"/>
        <v>0</v>
      </c>
    </row>
    <row r="617" spans="1:6" ht="18" hidden="1" customHeight="1">
      <c r="A617" s="219"/>
      <c r="B617" s="218"/>
      <c r="C617" s="224">
        <v>72</v>
      </c>
      <c r="D617" s="248"/>
      <c r="E617" s="214"/>
      <c r="F617" s="167">
        <f t="shared" si="40"/>
        <v>0</v>
      </c>
    </row>
    <row r="618" spans="1:6" ht="18" hidden="1" customHeight="1">
      <c r="A618" s="229" t="s">
        <v>270</v>
      </c>
      <c r="B618" s="218"/>
      <c r="C618" s="224" t="s">
        <v>271</v>
      </c>
      <c r="D618" s="248"/>
      <c r="E618" s="214"/>
      <c r="F618" s="167">
        <f t="shared" si="40"/>
        <v>0</v>
      </c>
    </row>
    <row r="619" spans="1:6" ht="18" hidden="1" customHeight="1">
      <c r="A619" s="229"/>
      <c r="B619" s="220" t="s">
        <v>427</v>
      </c>
      <c r="C619" s="224" t="s">
        <v>273</v>
      </c>
      <c r="D619" s="248"/>
      <c r="E619" s="214"/>
      <c r="F619" s="167">
        <f t="shared" si="40"/>
        <v>0</v>
      </c>
    </row>
    <row r="620" spans="1:6" ht="18" customHeight="1">
      <c r="A620" s="261" t="s">
        <v>614</v>
      </c>
      <c r="B620" s="220"/>
      <c r="C620" s="224">
        <v>79</v>
      </c>
      <c r="D620" s="367">
        <f>D621</f>
        <v>8422</v>
      </c>
      <c r="E620" s="414">
        <f>E621</f>
        <v>0</v>
      </c>
      <c r="F620" s="167">
        <f t="shared" si="40"/>
        <v>8422</v>
      </c>
    </row>
    <row r="621" spans="1:6" ht="18" customHeight="1">
      <c r="A621" s="206" t="s">
        <v>1020</v>
      </c>
      <c r="B621" s="220"/>
      <c r="C621" s="224">
        <v>81</v>
      </c>
      <c r="D621" s="367">
        <f>D623+D624</f>
        <v>8422</v>
      </c>
      <c r="E621" s="414">
        <f>E623+E624</f>
        <v>0</v>
      </c>
      <c r="F621" s="167">
        <f t="shared" si="40"/>
        <v>8422</v>
      </c>
    </row>
    <row r="622" spans="1:6" ht="18" hidden="1" customHeight="1">
      <c r="A622" s="206" t="s">
        <v>278</v>
      </c>
      <c r="B622" s="220"/>
      <c r="C622" s="224" t="s">
        <v>279</v>
      </c>
      <c r="D622" s="248"/>
      <c r="E622" s="214"/>
      <c r="F622" s="167">
        <f t="shared" si="40"/>
        <v>0</v>
      </c>
    </row>
    <row r="623" spans="1:6" ht="18" hidden="1" customHeight="1">
      <c r="A623" s="206" t="s">
        <v>629</v>
      </c>
      <c r="B623" s="220"/>
      <c r="C623" s="224" t="s">
        <v>602</v>
      </c>
      <c r="D623" s="248">
        <f>D1439</f>
        <v>0</v>
      </c>
      <c r="E623" s="214">
        <f>E1439</f>
        <v>0</v>
      </c>
      <c r="F623" s="167">
        <f t="shared" si="40"/>
        <v>0</v>
      </c>
    </row>
    <row r="624" spans="1:6" ht="34.5" customHeight="1">
      <c r="A624" s="524" t="s">
        <v>887</v>
      </c>
      <c r="B624" s="525"/>
      <c r="C624" s="224" t="s">
        <v>888</v>
      </c>
      <c r="D624" s="248">
        <f>D2268</f>
        <v>8422</v>
      </c>
      <c r="E624" s="214">
        <f>E2268</f>
        <v>0</v>
      </c>
      <c r="F624" s="370">
        <f>F2268</f>
        <v>8422</v>
      </c>
    </row>
    <row r="625" spans="1:6" ht="18" customHeight="1">
      <c r="A625" s="549" t="s">
        <v>1015</v>
      </c>
      <c r="B625" s="529"/>
      <c r="C625" s="224">
        <v>85</v>
      </c>
      <c r="D625" s="367">
        <f>D626</f>
        <v>-8.7899999999999991</v>
      </c>
      <c r="E625" s="414">
        <f>E626</f>
        <v>0</v>
      </c>
      <c r="F625" s="167">
        <f t="shared" ref="F625:F654" si="42">D625+E625</f>
        <v>-8.7899999999999991</v>
      </c>
    </row>
    <row r="626" spans="1:6" ht="18" customHeight="1">
      <c r="A626" s="206"/>
      <c r="B626" s="220" t="s">
        <v>311</v>
      </c>
      <c r="C626" s="224" t="s">
        <v>312</v>
      </c>
      <c r="D626" s="248">
        <f>D2270+D1441</f>
        <v>-8.7899999999999991</v>
      </c>
      <c r="E626" s="214">
        <f>E2270+E1441</f>
        <v>0</v>
      </c>
      <c r="F626" s="167">
        <f t="shared" si="42"/>
        <v>-8.7899999999999991</v>
      </c>
    </row>
    <row r="627" spans="1:6" ht="18.75" hidden="1" customHeight="1">
      <c r="A627" s="242"/>
      <c r="B627" s="243"/>
      <c r="C627" s="224"/>
      <c r="D627" s="248"/>
      <c r="E627" s="214"/>
      <c r="F627" s="167">
        <f t="shared" si="42"/>
        <v>0</v>
      </c>
    </row>
    <row r="628" spans="1:6" ht="18" customHeight="1">
      <c r="A628" s="244" t="s">
        <v>161</v>
      </c>
      <c r="B628" s="396"/>
      <c r="C628" s="224" t="s">
        <v>162</v>
      </c>
      <c r="D628" s="367">
        <f>D629+D630</f>
        <v>81694</v>
      </c>
      <c r="E628" s="414">
        <f>E629+E630</f>
        <v>0</v>
      </c>
      <c r="F628" s="167">
        <f t="shared" si="42"/>
        <v>81694</v>
      </c>
    </row>
    <row r="629" spans="1:6" ht="17.25" customHeight="1">
      <c r="A629" s="244"/>
      <c r="B629" s="220" t="s">
        <v>632</v>
      </c>
      <c r="C629" s="224" t="s">
        <v>163</v>
      </c>
      <c r="D629" s="367">
        <f>D2273</f>
        <v>81694</v>
      </c>
      <c r="E629" s="414">
        <f>E2273</f>
        <v>0</v>
      </c>
      <c r="F629" s="167">
        <f t="shared" si="42"/>
        <v>81694</v>
      </c>
    </row>
    <row r="630" spans="1:6" ht="18" hidden="1" customHeight="1">
      <c r="A630" s="244"/>
      <c r="B630" s="475" t="s">
        <v>428</v>
      </c>
      <c r="C630" s="224" t="s">
        <v>429</v>
      </c>
      <c r="D630" s="367"/>
      <c r="E630" s="414"/>
      <c r="F630" s="167">
        <f t="shared" si="42"/>
        <v>0</v>
      </c>
    </row>
    <row r="631" spans="1:6" ht="18" customHeight="1">
      <c r="A631" s="236" t="s">
        <v>164</v>
      </c>
      <c r="B631" s="220"/>
      <c r="C631" s="224" t="s">
        <v>165</v>
      </c>
      <c r="D631" s="367">
        <f>D632+D633</f>
        <v>256.52</v>
      </c>
      <c r="E631" s="414">
        <f>E632+E633</f>
        <v>0</v>
      </c>
      <c r="F631" s="167">
        <f t="shared" si="42"/>
        <v>256.52</v>
      </c>
    </row>
    <row r="632" spans="1:6" ht="20.25">
      <c r="A632" s="236"/>
      <c r="B632" s="475" t="s">
        <v>633</v>
      </c>
      <c r="C632" s="224" t="s">
        <v>166</v>
      </c>
      <c r="D632" s="367">
        <f>D2276</f>
        <v>256.52</v>
      </c>
      <c r="E632" s="414">
        <f>E2276</f>
        <v>0</v>
      </c>
      <c r="F632" s="167">
        <f t="shared" si="42"/>
        <v>256.52</v>
      </c>
    </row>
    <row r="633" spans="1:6" ht="20.25" hidden="1">
      <c r="A633" s="236"/>
      <c r="B633" s="475" t="s">
        <v>430</v>
      </c>
      <c r="C633" s="224" t="s">
        <v>431</v>
      </c>
      <c r="D633" s="248"/>
      <c r="E633" s="214"/>
      <c r="F633" s="167">
        <f t="shared" si="42"/>
        <v>0</v>
      </c>
    </row>
    <row r="634" spans="1:6" ht="20.25">
      <c r="A634" s="244" t="s">
        <v>167</v>
      </c>
      <c r="B634" s="475"/>
      <c r="C634" s="224" t="s">
        <v>168</v>
      </c>
      <c r="D634" s="367">
        <f>D1449+D2278</f>
        <v>21617.9</v>
      </c>
      <c r="E634" s="414">
        <f>E1449+E2278</f>
        <v>0</v>
      </c>
      <c r="F634" s="167">
        <f t="shared" si="42"/>
        <v>21617.9</v>
      </c>
    </row>
    <row r="635" spans="1:6" ht="20.25" hidden="1">
      <c r="A635" s="244" t="s">
        <v>432</v>
      </c>
      <c r="B635" s="475"/>
      <c r="C635" s="224" t="s">
        <v>433</v>
      </c>
      <c r="D635" s="248"/>
      <c r="E635" s="214"/>
      <c r="F635" s="167">
        <f t="shared" si="42"/>
        <v>0</v>
      </c>
    </row>
    <row r="636" spans="1:6" ht="18" customHeight="1">
      <c r="A636" s="244" t="s">
        <v>169</v>
      </c>
      <c r="B636" s="396"/>
      <c r="C636" s="224" t="s">
        <v>170</v>
      </c>
      <c r="D636" s="367">
        <f>D1451+D2280</f>
        <v>128905.56</v>
      </c>
      <c r="E636" s="414">
        <f>E1451+E2280</f>
        <v>106</v>
      </c>
      <c r="F636" s="167">
        <f t="shared" si="42"/>
        <v>129011.56</v>
      </c>
    </row>
    <row r="637" spans="1:6" ht="18" hidden="1" customHeight="1">
      <c r="A637" s="271"/>
      <c r="B637" s="474"/>
      <c r="C637" s="224"/>
      <c r="D637" s="248"/>
      <c r="E637" s="214"/>
      <c r="F637" s="167">
        <f t="shared" si="42"/>
        <v>0</v>
      </c>
    </row>
    <row r="638" spans="1:6" ht="18" hidden="1" customHeight="1">
      <c r="A638" s="271"/>
      <c r="B638" s="474"/>
      <c r="C638" s="224"/>
      <c r="D638" s="248"/>
      <c r="E638" s="214"/>
      <c r="F638" s="167">
        <f t="shared" si="42"/>
        <v>0</v>
      </c>
    </row>
    <row r="639" spans="1:6" ht="20.25">
      <c r="A639" s="272"/>
      <c r="B639" s="264" t="s">
        <v>171</v>
      </c>
      <c r="C639" s="202" t="s">
        <v>593</v>
      </c>
      <c r="D639" s="350">
        <f>D674+D675+D678+D679</f>
        <v>135341.38</v>
      </c>
      <c r="E639" s="409">
        <f>E674+E675+E678+E679</f>
        <v>277</v>
      </c>
      <c r="F639" s="167">
        <f t="shared" si="42"/>
        <v>135618.38</v>
      </c>
    </row>
    <row r="640" spans="1:6" ht="20.25">
      <c r="A640" s="247" t="s">
        <v>916</v>
      </c>
      <c r="B640" s="474"/>
      <c r="C640" s="235" t="s">
        <v>49</v>
      </c>
      <c r="D640" s="367">
        <f>D641+D642+D643+D646+D651+D652</f>
        <v>61799.76</v>
      </c>
      <c r="E640" s="414">
        <f>E641+E642+E643+E646+E651+E652</f>
        <v>0</v>
      </c>
      <c r="F640" s="167">
        <f t="shared" si="42"/>
        <v>61799.76</v>
      </c>
    </row>
    <row r="641" spans="1:6" ht="20.25" hidden="1">
      <c r="A641" s="204" t="s">
        <v>561</v>
      </c>
      <c r="B641" s="474"/>
      <c r="C641" s="235">
        <v>10</v>
      </c>
      <c r="D641" s="248"/>
      <c r="E641" s="214"/>
      <c r="F641" s="167">
        <f t="shared" si="42"/>
        <v>0</v>
      </c>
    </row>
    <row r="642" spans="1:6" ht="20.25">
      <c r="A642" s="206" t="s">
        <v>562</v>
      </c>
      <c r="B642" s="474"/>
      <c r="C642" s="224">
        <v>20</v>
      </c>
      <c r="D642" s="248">
        <f>D1456</f>
        <v>37558</v>
      </c>
      <c r="E642" s="214">
        <f>E1456</f>
        <v>0</v>
      </c>
      <c r="F642" s="167">
        <f t="shared" si="42"/>
        <v>37558</v>
      </c>
    </row>
    <row r="643" spans="1:6" ht="18" hidden="1" customHeight="1">
      <c r="A643" s="219" t="s">
        <v>434</v>
      </c>
      <c r="B643" s="474"/>
      <c r="C643" s="235" t="s">
        <v>592</v>
      </c>
      <c r="D643" s="248"/>
      <c r="E643" s="214"/>
      <c r="F643" s="167">
        <f t="shared" si="42"/>
        <v>0</v>
      </c>
    </row>
    <row r="644" spans="1:6" ht="18" hidden="1" customHeight="1">
      <c r="A644" s="219" t="s">
        <v>55</v>
      </c>
      <c r="B644" s="474"/>
      <c r="C644" s="224" t="s">
        <v>56</v>
      </c>
      <c r="D644" s="248"/>
      <c r="E644" s="214"/>
      <c r="F644" s="167">
        <f t="shared" si="42"/>
        <v>0</v>
      </c>
    </row>
    <row r="645" spans="1:6" ht="18" hidden="1" customHeight="1">
      <c r="A645" s="215"/>
      <c r="B645" s="474"/>
      <c r="C645" s="224" t="s">
        <v>58</v>
      </c>
      <c r="D645" s="248"/>
      <c r="E645" s="214"/>
      <c r="F645" s="167">
        <f t="shared" si="42"/>
        <v>0</v>
      </c>
    </row>
    <row r="646" spans="1:6" ht="18" customHeight="1">
      <c r="A646" s="219" t="s">
        <v>623</v>
      </c>
      <c r="B646" s="474"/>
      <c r="C646" s="235" t="s">
        <v>159</v>
      </c>
      <c r="D646" s="248">
        <f>D2289+D1460</f>
        <v>495.76</v>
      </c>
      <c r="E646" s="248">
        <f>E2289+E1460</f>
        <v>0</v>
      </c>
      <c r="F646" s="167">
        <f t="shared" si="42"/>
        <v>495.76</v>
      </c>
    </row>
    <row r="647" spans="1:6" ht="18" customHeight="1">
      <c r="A647" s="219" t="s">
        <v>172</v>
      </c>
      <c r="B647" s="474"/>
      <c r="C647" s="235" t="s">
        <v>67</v>
      </c>
      <c r="D647" s="248">
        <f>D2290+D1461</f>
        <v>495.76</v>
      </c>
      <c r="E647" s="214">
        <f>E2290</f>
        <v>0</v>
      </c>
      <c r="F647" s="167">
        <f t="shared" si="42"/>
        <v>495.76</v>
      </c>
    </row>
    <row r="648" spans="1:6" ht="18" customHeight="1">
      <c r="A648" s="236"/>
      <c r="B648" s="220" t="s">
        <v>435</v>
      </c>
      <c r="C648" s="224" t="s">
        <v>258</v>
      </c>
      <c r="D648" s="248">
        <f>D2291</f>
        <v>350</v>
      </c>
      <c r="E648" s="214">
        <f>E2291</f>
        <v>0</v>
      </c>
      <c r="F648" s="167">
        <f t="shared" si="42"/>
        <v>350</v>
      </c>
    </row>
    <row r="649" spans="1:6" ht="36" customHeight="1">
      <c r="A649" s="236"/>
      <c r="B649" s="222" t="s">
        <v>347</v>
      </c>
      <c r="C649" s="224" t="s">
        <v>329</v>
      </c>
      <c r="D649" s="248">
        <f>D2293</f>
        <v>145.76</v>
      </c>
      <c r="E649" s="214">
        <f>E2293</f>
        <v>0</v>
      </c>
      <c r="F649" s="167">
        <f t="shared" si="42"/>
        <v>145.76</v>
      </c>
    </row>
    <row r="650" spans="1:6" ht="18" hidden="1" customHeight="1">
      <c r="A650" s="215"/>
      <c r="B650" s="222" t="s">
        <v>624</v>
      </c>
      <c r="C650" s="235" t="s">
        <v>625</v>
      </c>
      <c r="D650" s="248"/>
      <c r="E650" s="214"/>
      <c r="F650" s="167">
        <f t="shared" si="42"/>
        <v>0</v>
      </c>
    </row>
    <row r="651" spans="1:6" s="143" customFormat="1" ht="20.25">
      <c r="A651" s="556" t="s">
        <v>934</v>
      </c>
      <c r="B651" s="529"/>
      <c r="C651" s="374">
        <v>58</v>
      </c>
      <c r="D651" s="378">
        <f>D2294</f>
        <v>0</v>
      </c>
      <c r="E651" s="415">
        <f>E2294</f>
        <v>0</v>
      </c>
      <c r="F651" s="266">
        <f t="shared" si="42"/>
        <v>0</v>
      </c>
    </row>
    <row r="652" spans="1:6" ht="18" customHeight="1">
      <c r="A652" s="237" t="s">
        <v>659</v>
      </c>
      <c r="B652" s="474"/>
      <c r="C652" s="224">
        <v>59</v>
      </c>
      <c r="D652" s="488">
        <f t="shared" ref="D652:E654" si="43">D1484</f>
        <v>23746</v>
      </c>
      <c r="E652" s="418">
        <f t="shared" si="43"/>
        <v>0</v>
      </c>
      <c r="F652" s="167">
        <f t="shared" si="42"/>
        <v>23746</v>
      </c>
    </row>
    <row r="653" spans="1:6" ht="18" customHeight="1">
      <c r="A653" s="242"/>
      <c r="B653" s="243" t="s">
        <v>898</v>
      </c>
      <c r="C653" s="224" t="s">
        <v>619</v>
      </c>
      <c r="D653" s="488">
        <f t="shared" si="43"/>
        <v>390</v>
      </c>
      <c r="E653" s="418">
        <f t="shared" si="43"/>
        <v>0</v>
      </c>
      <c r="F653" s="167">
        <f t="shared" si="42"/>
        <v>390</v>
      </c>
    </row>
    <row r="654" spans="1:6" ht="18" customHeight="1">
      <c r="A654" s="242"/>
      <c r="B654" s="222" t="s">
        <v>897</v>
      </c>
      <c r="C654" s="224" t="s">
        <v>267</v>
      </c>
      <c r="D654" s="248">
        <f t="shared" si="43"/>
        <v>23356</v>
      </c>
      <c r="E654" s="214">
        <f t="shared" si="43"/>
        <v>0</v>
      </c>
      <c r="F654" s="167">
        <f t="shared" si="42"/>
        <v>23356</v>
      </c>
    </row>
    <row r="655" spans="1:6" ht="36" customHeight="1">
      <c r="A655" s="522" t="s">
        <v>1002</v>
      </c>
      <c r="B655" s="529"/>
      <c r="C655" s="224">
        <v>60</v>
      </c>
      <c r="D655" s="367">
        <f t="shared" ref="D655:F656" si="44">D2295</f>
        <v>6433</v>
      </c>
      <c r="E655" s="414">
        <f t="shared" si="44"/>
        <v>0</v>
      </c>
      <c r="F655" s="371">
        <f t="shared" si="44"/>
        <v>6433</v>
      </c>
    </row>
    <row r="656" spans="1:6" ht="42" customHeight="1">
      <c r="A656" s="522" t="s">
        <v>1013</v>
      </c>
      <c r="B656" s="529"/>
      <c r="C656" s="224">
        <v>61</v>
      </c>
      <c r="D656" s="248">
        <f t="shared" si="44"/>
        <v>64731</v>
      </c>
      <c r="E656" s="214">
        <f t="shared" si="44"/>
        <v>0</v>
      </c>
      <c r="F656" s="355">
        <f t="shared" si="44"/>
        <v>64731</v>
      </c>
    </row>
    <row r="657" spans="1:6" ht="18" customHeight="1">
      <c r="A657" s="261" t="s">
        <v>116</v>
      </c>
      <c r="B657" s="474"/>
      <c r="C657" s="224">
        <v>70</v>
      </c>
      <c r="D657" s="367">
        <f>D658</f>
        <v>2413</v>
      </c>
      <c r="E657" s="414">
        <f>E658</f>
        <v>277</v>
      </c>
      <c r="F657" s="167">
        <f t="shared" ref="F657:F720" si="45">D657+E657</f>
        <v>2690</v>
      </c>
    </row>
    <row r="658" spans="1:6" ht="18" customHeight="1">
      <c r="A658" s="226" t="s">
        <v>1014</v>
      </c>
      <c r="B658" s="474"/>
      <c r="C658" s="224">
        <v>71</v>
      </c>
      <c r="D658" s="248">
        <f>D2298</f>
        <v>2413</v>
      </c>
      <c r="E658" s="214">
        <f>E2298</f>
        <v>277</v>
      </c>
      <c r="F658" s="167">
        <f t="shared" si="45"/>
        <v>2690</v>
      </c>
    </row>
    <row r="659" spans="1:6" ht="18" hidden="1" customHeight="1">
      <c r="A659" s="219" t="s">
        <v>127</v>
      </c>
      <c r="B659" s="474"/>
      <c r="C659" s="224" t="s">
        <v>80</v>
      </c>
      <c r="D659" s="248"/>
      <c r="E659" s="214"/>
      <c r="F659" s="167">
        <f t="shared" si="45"/>
        <v>0</v>
      </c>
    </row>
    <row r="660" spans="1:6" ht="18" hidden="1" customHeight="1">
      <c r="A660" s="219"/>
      <c r="B660" s="218" t="s">
        <v>81</v>
      </c>
      <c r="C660" s="241" t="s">
        <v>82</v>
      </c>
      <c r="D660" s="248"/>
      <c r="E660" s="214"/>
      <c r="F660" s="167">
        <f t="shared" si="45"/>
        <v>0</v>
      </c>
    </row>
    <row r="661" spans="1:6" ht="18" hidden="1" customHeight="1">
      <c r="A661" s="219"/>
      <c r="B661" s="220" t="s">
        <v>83</v>
      </c>
      <c r="C661" s="241" t="s">
        <v>84</v>
      </c>
      <c r="D661" s="248"/>
      <c r="E661" s="214"/>
      <c r="F661" s="167">
        <f t="shared" si="45"/>
        <v>0</v>
      </c>
    </row>
    <row r="662" spans="1:6" ht="18" hidden="1" customHeight="1">
      <c r="A662" s="219"/>
      <c r="B662" s="220" t="s">
        <v>94</v>
      </c>
      <c r="C662" s="241" t="s">
        <v>86</v>
      </c>
      <c r="D662" s="248"/>
      <c r="E662" s="214"/>
      <c r="F662" s="167">
        <f t="shared" si="45"/>
        <v>0</v>
      </c>
    </row>
    <row r="663" spans="1:6" ht="18" hidden="1" customHeight="1">
      <c r="A663" s="219"/>
      <c r="B663" s="220" t="s">
        <v>87</v>
      </c>
      <c r="C663" s="241" t="s">
        <v>88</v>
      </c>
      <c r="D663" s="248"/>
      <c r="E663" s="214"/>
      <c r="F663" s="167">
        <f t="shared" si="45"/>
        <v>0</v>
      </c>
    </row>
    <row r="664" spans="1:6" ht="18" hidden="1" customHeight="1">
      <c r="A664" s="526" t="s">
        <v>268</v>
      </c>
      <c r="B664" s="529"/>
      <c r="C664" s="241" t="s">
        <v>269</v>
      </c>
      <c r="D664" s="248"/>
      <c r="E664" s="214"/>
      <c r="F664" s="167">
        <f t="shared" si="45"/>
        <v>0</v>
      </c>
    </row>
    <row r="665" spans="1:6" ht="18" hidden="1" customHeight="1">
      <c r="A665" s="219"/>
      <c r="B665" s="218"/>
      <c r="C665" s="224">
        <v>72</v>
      </c>
      <c r="D665" s="248"/>
      <c r="E665" s="214"/>
      <c r="F665" s="167">
        <f t="shared" si="45"/>
        <v>0</v>
      </c>
    </row>
    <row r="666" spans="1:6" ht="18" hidden="1" customHeight="1">
      <c r="A666" s="229" t="s">
        <v>270</v>
      </c>
      <c r="B666" s="218"/>
      <c r="C666" s="224" t="s">
        <v>271</v>
      </c>
      <c r="D666" s="248"/>
      <c r="E666" s="214"/>
      <c r="F666" s="167">
        <f t="shared" si="45"/>
        <v>0</v>
      </c>
    </row>
    <row r="667" spans="1:6" ht="18" hidden="1" customHeight="1">
      <c r="A667" s="229"/>
      <c r="B667" s="220" t="s">
        <v>427</v>
      </c>
      <c r="C667" s="224" t="s">
        <v>273</v>
      </c>
      <c r="D667" s="248"/>
      <c r="E667" s="214"/>
      <c r="F667" s="167">
        <f t="shared" si="45"/>
        <v>0</v>
      </c>
    </row>
    <row r="668" spans="1:6" ht="18" hidden="1" customHeight="1">
      <c r="A668" s="215"/>
      <c r="B668" s="220"/>
      <c r="C668" s="224">
        <v>79</v>
      </c>
      <c r="D668" s="248"/>
      <c r="E668" s="214"/>
      <c r="F668" s="167">
        <f t="shared" si="45"/>
        <v>0</v>
      </c>
    </row>
    <row r="669" spans="1:6" ht="18" hidden="1" customHeight="1">
      <c r="A669" s="219"/>
      <c r="B669" s="220"/>
      <c r="C669" s="224">
        <v>81</v>
      </c>
      <c r="D669" s="248"/>
      <c r="E669" s="214"/>
      <c r="F669" s="167">
        <f t="shared" si="45"/>
        <v>0</v>
      </c>
    </row>
    <row r="670" spans="1:6" ht="18" hidden="1" customHeight="1">
      <c r="A670" s="206" t="s">
        <v>278</v>
      </c>
      <c r="B670" s="220"/>
      <c r="C670" s="224" t="s">
        <v>279</v>
      </c>
      <c r="D670" s="248"/>
      <c r="E670" s="214"/>
      <c r="F670" s="167">
        <f t="shared" si="45"/>
        <v>0</v>
      </c>
    </row>
    <row r="671" spans="1:6" ht="18" hidden="1" customHeight="1">
      <c r="A671" s="206" t="s">
        <v>629</v>
      </c>
      <c r="B671" s="220"/>
      <c r="C671" s="224" t="s">
        <v>602</v>
      </c>
      <c r="D671" s="248"/>
      <c r="E671" s="214"/>
      <c r="F671" s="167">
        <f t="shared" si="45"/>
        <v>0</v>
      </c>
    </row>
    <row r="672" spans="1:6" ht="18" customHeight="1">
      <c r="A672" s="541" t="s">
        <v>1015</v>
      </c>
      <c r="B672" s="529"/>
      <c r="C672" s="224">
        <v>85</v>
      </c>
      <c r="D672" s="378">
        <f>D673</f>
        <v>-35.380000000000003</v>
      </c>
      <c r="E672" s="214"/>
      <c r="F672" s="167">
        <f t="shared" si="45"/>
        <v>-35.380000000000003</v>
      </c>
    </row>
    <row r="673" spans="1:6" ht="18" customHeight="1">
      <c r="A673" s="206"/>
      <c r="B673" s="220" t="s">
        <v>311</v>
      </c>
      <c r="C673" s="224" t="s">
        <v>312</v>
      </c>
      <c r="D673" s="248">
        <f>D1488</f>
        <v>-35.380000000000003</v>
      </c>
      <c r="E673" s="214"/>
      <c r="F673" s="167">
        <f t="shared" si="45"/>
        <v>-35.380000000000003</v>
      </c>
    </row>
    <row r="674" spans="1:6" ht="18.75" customHeight="1">
      <c r="A674" s="388" t="s">
        <v>1030</v>
      </c>
      <c r="B674" s="243"/>
      <c r="C674" s="224" t="s">
        <v>1029</v>
      </c>
      <c r="D674" s="248">
        <f>D1489</f>
        <v>0</v>
      </c>
      <c r="E674" s="214">
        <f>E1489</f>
        <v>0</v>
      </c>
      <c r="F674" s="167">
        <f t="shared" si="45"/>
        <v>0</v>
      </c>
    </row>
    <row r="675" spans="1:6" ht="18" customHeight="1">
      <c r="A675" s="244" t="s">
        <v>173</v>
      </c>
      <c r="B675" s="475"/>
      <c r="C675" s="224" t="s">
        <v>594</v>
      </c>
      <c r="D675" s="367">
        <f>D676+D677</f>
        <v>127730.38</v>
      </c>
      <c r="E675" s="414">
        <f>E676+E677</f>
        <v>277</v>
      </c>
      <c r="F675" s="167">
        <f t="shared" si="45"/>
        <v>128007.38</v>
      </c>
    </row>
    <row r="676" spans="1:6" ht="18" customHeight="1">
      <c r="A676" s="244"/>
      <c r="B676" s="475" t="s">
        <v>174</v>
      </c>
      <c r="C676" s="224" t="s">
        <v>175</v>
      </c>
      <c r="D676" s="367">
        <f>D1491+D2314</f>
        <v>127730.38</v>
      </c>
      <c r="E676" s="414">
        <f>E1491+E2314</f>
        <v>277</v>
      </c>
      <c r="F676" s="167">
        <f t="shared" si="45"/>
        <v>128007.38</v>
      </c>
    </row>
    <row r="677" spans="1:6" ht="18" hidden="1" customHeight="1">
      <c r="A677" s="244"/>
      <c r="B677" s="475" t="s">
        <v>436</v>
      </c>
      <c r="C677" s="224" t="s">
        <v>437</v>
      </c>
      <c r="D677" s="367">
        <f>D1492+D2315</f>
        <v>0</v>
      </c>
      <c r="E677" s="414">
        <f>E1492+E2315</f>
        <v>0</v>
      </c>
      <c r="F677" s="167">
        <f t="shared" si="45"/>
        <v>0</v>
      </c>
    </row>
    <row r="678" spans="1:6" ht="18" customHeight="1">
      <c r="A678" s="244" t="s">
        <v>595</v>
      </c>
      <c r="B678" s="475"/>
      <c r="C678" s="224" t="s">
        <v>596</v>
      </c>
      <c r="D678" s="367">
        <f>+D2316</f>
        <v>360</v>
      </c>
      <c r="E678" s="414">
        <f>+E2316</f>
        <v>0</v>
      </c>
      <c r="F678" s="167">
        <f t="shared" si="45"/>
        <v>360</v>
      </c>
    </row>
    <row r="679" spans="1:6" ht="18" customHeight="1">
      <c r="A679" s="244" t="s">
        <v>899</v>
      </c>
      <c r="B679" s="475"/>
      <c r="C679" s="224" t="s">
        <v>900</v>
      </c>
      <c r="D679" s="367">
        <f>D1493+D2317</f>
        <v>7251</v>
      </c>
      <c r="E679" s="414">
        <f>E1493+E2317</f>
        <v>0</v>
      </c>
      <c r="F679" s="167">
        <f t="shared" si="45"/>
        <v>7251</v>
      </c>
    </row>
    <row r="680" spans="1:6" ht="18" hidden="1" customHeight="1">
      <c r="A680" s="271"/>
      <c r="B680" s="474"/>
      <c r="C680" s="224"/>
      <c r="D680" s="248"/>
      <c r="E680" s="214"/>
      <c r="F680" s="167">
        <f t="shared" si="45"/>
        <v>0</v>
      </c>
    </row>
    <row r="681" spans="1:6" ht="18" hidden="1" customHeight="1">
      <c r="A681" s="272"/>
      <c r="B681" s="277"/>
      <c r="C681" s="224" t="s">
        <v>176</v>
      </c>
      <c r="D681" s="248"/>
      <c r="E681" s="214"/>
      <c r="F681" s="167">
        <f t="shared" si="45"/>
        <v>0</v>
      </c>
    </row>
    <row r="682" spans="1:6" ht="18" hidden="1" customHeight="1">
      <c r="A682" s="263"/>
      <c r="B682" s="264" t="s">
        <v>177</v>
      </c>
      <c r="C682" s="202" t="s">
        <v>597</v>
      </c>
      <c r="D682" s="350">
        <f>D711</f>
        <v>0</v>
      </c>
      <c r="E682" s="409">
        <f>E711</f>
        <v>0</v>
      </c>
      <c r="F682" s="167">
        <f t="shared" si="45"/>
        <v>0</v>
      </c>
    </row>
    <row r="683" spans="1:6" ht="18" hidden="1" customHeight="1">
      <c r="A683" s="247" t="s">
        <v>99</v>
      </c>
      <c r="B683" s="474"/>
      <c r="C683" s="235" t="s">
        <v>49</v>
      </c>
      <c r="D683" s="367">
        <f>D686+D691+D685</f>
        <v>0</v>
      </c>
      <c r="E683" s="414">
        <f>E686+E691+E685</f>
        <v>0</v>
      </c>
      <c r="F683" s="167">
        <f t="shared" si="45"/>
        <v>0</v>
      </c>
    </row>
    <row r="684" spans="1:6" ht="18" hidden="1" customHeight="1">
      <c r="A684" s="204" t="s">
        <v>561</v>
      </c>
      <c r="B684" s="474"/>
      <c r="C684" s="235">
        <v>10</v>
      </c>
      <c r="D684" s="248"/>
      <c r="E684" s="214"/>
      <c r="F684" s="167">
        <f t="shared" si="45"/>
        <v>0</v>
      </c>
    </row>
    <row r="685" spans="1:6" ht="18" hidden="1" customHeight="1">
      <c r="A685" s="206" t="s">
        <v>562</v>
      </c>
      <c r="B685" s="474"/>
      <c r="C685" s="224">
        <v>20</v>
      </c>
      <c r="D685" s="248">
        <f>D1499</f>
        <v>0</v>
      </c>
      <c r="E685" s="214">
        <f>E1499</f>
        <v>0</v>
      </c>
      <c r="F685" s="167">
        <f t="shared" si="45"/>
        <v>0</v>
      </c>
    </row>
    <row r="686" spans="1:6" ht="18" hidden="1" customHeight="1">
      <c r="A686" s="219" t="s">
        <v>612</v>
      </c>
      <c r="B686" s="474"/>
      <c r="C686" s="235" t="s">
        <v>159</v>
      </c>
      <c r="D686" s="248">
        <f>D1500</f>
        <v>0</v>
      </c>
      <c r="E686" s="214">
        <f>E1500</f>
        <v>0</v>
      </c>
      <c r="F686" s="167">
        <f t="shared" si="45"/>
        <v>0</v>
      </c>
    </row>
    <row r="687" spans="1:6" ht="18" hidden="1" customHeight="1">
      <c r="A687" s="219" t="s">
        <v>160</v>
      </c>
      <c r="B687" s="474"/>
      <c r="C687" s="235" t="s">
        <v>67</v>
      </c>
      <c r="D687" s="248"/>
      <c r="E687" s="214"/>
      <c r="F687" s="167">
        <f t="shared" si="45"/>
        <v>0</v>
      </c>
    </row>
    <row r="688" spans="1:6" ht="18" hidden="1" customHeight="1">
      <c r="A688" s="215"/>
      <c r="B688" s="220" t="s">
        <v>438</v>
      </c>
      <c r="C688" s="224" t="s">
        <v>260</v>
      </c>
      <c r="D688" s="248"/>
      <c r="E688" s="214"/>
      <c r="F688" s="167">
        <f t="shared" si="45"/>
        <v>0</v>
      </c>
    </row>
    <row r="689" spans="1:6" ht="18" hidden="1" customHeight="1">
      <c r="A689" s="215"/>
      <c r="B689" s="222" t="s">
        <v>323</v>
      </c>
      <c r="C689" s="235" t="s">
        <v>258</v>
      </c>
      <c r="D689" s="248"/>
      <c r="E689" s="214"/>
      <c r="F689" s="167">
        <f t="shared" si="45"/>
        <v>0</v>
      </c>
    </row>
    <row r="690" spans="1:6" ht="18" hidden="1" customHeight="1">
      <c r="A690" s="215"/>
      <c r="B690" s="220" t="s">
        <v>624</v>
      </c>
      <c r="C690" s="224" t="s">
        <v>625</v>
      </c>
      <c r="D690" s="248"/>
      <c r="E690" s="214"/>
      <c r="F690" s="167">
        <f t="shared" si="45"/>
        <v>0</v>
      </c>
    </row>
    <row r="691" spans="1:6" ht="36" hidden="1" customHeight="1">
      <c r="A691" s="215"/>
      <c r="B691" s="208" t="s">
        <v>321</v>
      </c>
      <c r="C691" s="235">
        <v>56</v>
      </c>
      <c r="D691" s="248">
        <f>D2328</f>
        <v>0</v>
      </c>
      <c r="E691" s="214">
        <f>E2328</f>
        <v>0</v>
      </c>
      <c r="F691" s="167">
        <f t="shared" si="45"/>
        <v>0</v>
      </c>
    </row>
    <row r="692" spans="1:6" ht="18" hidden="1" customHeight="1">
      <c r="A692" s="215"/>
      <c r="B692" s="222" t="s">
        <v>315</v>
      </c>
      <c r="C692" s="224" t="s">
        <v>324</v>
      </c>
      <c r="D692" s="248"/>
      <c r="E692" s="214"/>
      <c r="F692" s="167">
        <f t="shared" si="45"/>
        <v>0</v>
      </c>
    </row>
    <row r="693" spans="1:6" ht="18" hidden="1" customHeight="1">
      <c r="A693" s="261" t="s">
        <v>439</v>
      </c>
      <c r="B693" s="474"/>
      <c r="C693" s="224">
        <v>70</v>
      </c>
      <c r="D693" s="367">
        <f>D694</f>
        <v>0</v>
      </c>
      <c r="E693" s="414">
        <f>E694</f>
        <v>0</v>
      </c>
      <c r="F693" s="167">
        <f t="shared" si="45"/>
        <v>0</v>
      </c>
    </row>
    <row r="694" spans="1:6" ht="18" hidden="1" customHeight="1">
      <c r="A694" s="226" t="s">
        <v>317</v>
      </c>
      <c r="B694" s="474"/>
      <c r="C694" s="224">
        <v>71</v>
      </c>
      <c r="D694" s="367">
        <f>D2331</f>
        <v>0</v>
      </c>
      <c r="E694" s="414">
        <f>E2331</f>
        <v>0</v>
      </c>
      <c r="F694" s="167">
        <f t="shared" si="45"/>
        <v>0</v>
      </c>
    </row>
    <row r="695" spans="1:6" ht="18" hidden="1" customHeight="1">
      <c r="A695" s="219" t="s">
        <v>110</v>
      </c>
      <c r="B695" s="474"/>
      <c r="C695" s="224" t="s">
        <v>80</v>
      </c>
      <c r="D695" s="367"/>
      <c r="E695" s="414"/>
      <c r="F695" s="167">
        <f t="shared" si="45"/>
        <v>0</v>
      </c>
    </row>
    <row r="696" spans="1:6" ht="18" hidden="1" customHeight="1">
      <c r="A696" s="219"/>
      <c r="B696" s="218" t="s">
        <v>81</v>
      </c>
      <c r="C696" s="241" t="s">
        <v>82</v>
      </c>
      <c r="D696" s="367"/>
      <c r="E696" s="414"/>
      <c r="F696" s="167">
        <f t="shared" si="45"/>
        <v>0</v>
      </c>
    </row>
    <row r="697" spans="1:6" ht="18" hidden="1" customHeight="1">
      <c r="A697" s="219"/>
      <c r="B697" s="220" t="s">
        <v>83</v>
      </c>
      <c r="C697" s="241" t="s">
        <v>84</v>
      </c>
      <c r="D697" s="367"/>
      <c r="E697" s="414"/>
      <c r="F697" s="167">
        <f t="shared" si="45"/>
        <v>0</v>
      </c>
    </row>
    <row r="698" spans="1:6" ht="18" hidden="1" customHeight="1">
      <c r="A698" s="219"/>
      <c r="B698" s="220" t="s">
        <v>94</v>
      </c>
      <c r="C698" s="241" t="s">
        <v>86</v>
      </c>
      <c r="D698" s="367"/>
      <c r="E698" s="414"/>
      <c r="F698" s="167">
        <f t="shared" si="45"/>
        <v>0</v>
      </c>
    </row>
    <row r="699" spans="1:6" ht="18" hidden="1" customHeight="1">
      <c r="A699" s="219"/>
      <c r="B699" s="220" t="s">
        <v>87</v>
      </c>
      <c r="C699" s="241" t="s">
        <v>88</v>
      </c>
      <c r="D699" s="367"/>
      <c r="E699" s="414"/>
      <c r="F699" s="167">
        <f t="shared" si="45"/>
        <v>0</v>
      </c>
    </row>
    <row r="700" spans="1:6" ht="18" hidden="1" customHeight="1">
      <c r="A700" s="526" t="s">
        <v>268</v>
      </c>
      <c r="B700" s="529"/>
      <c r="C700" s="241" t="s">
        <v>269</v>
      </c>
      <c r="D700" s="367"/>
      <c r="E700" s="414"/>
      <c r="F700" s="167">
        <f t="shared" si="45"/>
        <v>0</v>
      </c>
    </row>
    <row r="701" spans="1:6" ht="18.75" hidden="1" customHeight="1">
      <c r="A701" s="242"/>
      <c r="B701" s="243"/>
      <c r="C701" s="224"/>
      <c r="D701" s="367"/>
      <c r="E701" s="414"/>
      <c r="F701" s="167">
        <f t="shared" si="45"/>
        <v>0</v>
      </c>
    </row>
    <row r="702" spans="1:6" ht="18.75" hidden="1" customHeight="1">
      <c r="A702" s="242"/>
      <c r="B702" s="243"/>
      <c r="C702" s="224"/>
      <c r="D702" s="367"/>
      <c r="E702" s="414"/>
      <c r="F702" s="167">
        <f t="shared" si="45"/>
        <v>0</v>
      </c>
    </row>
    <row r="703" spans="1:6" ht="18.75" hidden="1" customHeight="1">
      <c r="A703" s="242"/>
      <c r="B703" s="243" t="s">
        <v>318</v>
      </c>
      <c r="C703" s="224">
        <v>85</v>
      </c>
      <c r="D703" s="367">
        <f>D704</f>
        <v>0</v>
      </c>
      <c r="E703" s="414">
        <f>E704</f>
        <v>0</v>
      </c>
      <c r="F703" s="167">
        <f t="shared" si="45"/>
        <v>0</v>
      </c>
    </row>
    <row r="704" spans="1:6" ht="18.75" hidden="1" customHeight="1">
      <c r="A704" s="242"/>
      <c r="B704" s="220" t="s">
        <v>311</v>
      </c>
      <c r="C704" s="224" t="s">
        <v>312</v>
      </c>
      <c r="D704" s="367"/>
      <c r="E704" s="414"/>
      <c r="F704" s="167">
        <f t="shared" si="45"/>
        <v>0</v>
      </c>
    </row>
    <row r="705" spans="1:6" ht="18" hidden="1" customHeight="1">
      <c r="A705" s="244" t="s">
        <v>178</v>
      </c>
      <c r="B705" s="220"/>
      <c r="C705" s="224" t="s">
        <v>179</v>
      </c>
      <c r="D705" s="367">
        <f>SUM(D708:D711)</f>
        <v>0</v>
      </c>
      <c r="E705" s="414">
        <f>SUM(E708:E711)</f>
        <v>0</v>
      </c>
      <c r="F705" s="167">
        <f t="shared" si="45"/>
        <v>0</v>
      </c>
    </row>
    <row r="706" spans="1:6" ht="18" hidden="1" customHeight="1">
      <c r="A706" s="244"/>
      <c r="B706" s="278"/>
      <c r="C706" s="279"/>
      <c r="D706" s="367"/>
      <c r="E706" s="414"/>
      <c r="F706" s="167">
        <f t="shared" si="45"/>
        <v>0</v>
      </c>
    </row>
    <row r="707" spans="1:6" ht="18" hidden="1" customHeight="1">
      <c r="A707" s="244"/>
      <c r="B707" s="278"/>
      <c r="C707" s="279"/>
      <c r="D707" s="367"/>
      <c r="E707" s="414"/>
      <c r="F707" s="167">
        <f t="shared" si="45"/>
        <v>0</v>
      </c>
    </row>
    <row r="708" spans="1:6" ht="18.75" hidden="1" customHeight="1">
      <c r="A708" s="263"/>
      <c r="B708" s="475" t="s">
        <v>598</v>
      </c>
      <c r="C708" s="224" t="s">
        <v>599</v>
      </c>
      <c r="D708" s="367"/>
      <c r="E708" s="414"/>
      <c r="F708" s="167">
        <f t="shared" si="45"/>
        <v>0</v>
      </c>
    </row>
    <row r="709" spans="1:6" ht="18.75" hidden="1" customHeight="1">
      <c r="A709" s="263"/>
      <c r="B709" s="475" t="s">
        <v>440</v>
      </c>
      <c r="C709" s="224" t="s">
        <v>441</v>
      </c>
      <c r="D709" s="367"/>
      <c r="E709" s="414"/>
      <c r="F709" s="167">
        <f t="shared" si="45"/>
        <v>0</v>
      </c>
    </row>
    <row r="710" spans="1:6" ht="18.75" hidden="1" customHeight="1">
      <c r="A710" s="263"/>
      <c r="B710" s="475" t="s">
        <v>442</v>
      </c>
      <c r="C710" s="224" t="s">
        <v>443</v>
      </c>
      <c r="D710" s="367"/>
      <c r="E710" s="414"/>
      <c r="F710" s="167">
        <f t="shared" si="45"/>
        <v>0</v>
      </c>
    </row>
    <row r="711" spans="1:6" ht="18.75" hidden="1" customHeight="1">
      <c r="A711" s="263"/>
      <c r="B711" s="220" t="s">
        <v>901</v>
      </c>
      <c r="C711" s="224" t="s">
        <v>601</v>
      </c>
      <c r="D711" s="367">
        <f>D1525+D2348</f>
        <v>0</v>
      </c>
      <c r="E711" s="414">
        <f>E1525+E2348</f>
        <v>0</v>
      </c>
      <c r="F711" s="167">
        <f t="shared" si="45"/>
        <v>0</v>
      </c>
    </row>
    <row r="712" spans="1:6" ht="18.75" hidden="1" customHeight="1">
      <c r="A712" s="280"/>
      <c r="B712" s="281"/>
      <c r="C712" s="224"/>
      <c r="D712" s="367"/>
      <c r="E712" s="414"/>
      <c r="F712" s="167">
        <f t="shared" si="45"/>
        <v>0</v>
      </c>
    </row>
    <row r="713" spans="1:6" ht="18.75" hidden="1" customHeight="1">
      <c r="A713" s="263"/>
      <c r="B713" s="264" t="s">
        <v>180</v>
      </c>
      <c r="C713" s="202" t="s">
        <v>602</v>
      </c>
      <c r="D713" s="350"/>
      <c r="E713" s="409"/>
      <c r="F713" s="167">
        <f t="shared" si="45"/>
        <v>0</v>
      </c>
    </row>
    <row r="714" spans="1:6" ht="18" hidden="1" customHeight="1">
      <c r="A714" s="247" t="s">
        <v>99</v>
      </c>
      <c r="B714" s="474"/>
      <c r="C714" s="235" t="s">
        <v>49</v>
      </c>
      <c r="D714" s="367"/>
      <c r="E714" s="414"/>
      <c r="F714" s="167">
        <f t="shared" si="45"/>
        <v>0</v>
      </c>
    </row>
    <row r="715" spans="1:6" ht="18" hidden="1" customHeight="1">
      <c r="A715" s="204" t="s">
        <v>561</v>
      </c>
      <c r="B715" s="474"/>
      <c r="C715" s="235">
        <v>10</v>
      </c>
      <c r="D715" s="367"/>
      <c r="E715" s="414"/>
      <c r="F715" s="167">
        <f t="shared" si="45"/>
        <v>0</v>
      </c>
    </row>
    <row r="716" spans="1:6" ht="18" hidden="1" customHeight="1">
      <c r="A716" s="206" t="s">
        <v>562</v>
      </c>
      <c r="B716" s="474"/>
      <c r="C716" s="224">
        <v>20</v>
      </c>
      <c r="D716" s="367"/>
      <c r="E716" s="414"/>
      <c r="F716" s="167">
        <f t="shared" si="45"/>
        <v>0</v>
      </c>
    </row>
    <row r="717" spans="1:6" ht="18" hidden="1" customHeight="1">
      <c r="A717" s="219" t="s">
        <v>611</v>
      </c>
      <c r="B717" s="474"/>
      <c r="C717" s="235" t="s">
        <v>52</v>
      </c>
      <c r="D717" s="367"/>
      <c r="E717" s="414"/>
      <c r="F717" s="167">
        <f t="shared" si="45"/>
        <v>0</v>
      </c>
    </row>
    <row r="718" spans="1:6" ht="18" hidden="1" customHeight="1">
      <c r="A718" s="219" t="s">
        <v>53</v>
      </c>
      <c r="B718" s="474"/>
      <c r="C718" s="235" t="s">
        <v>626</v>
      </c>
      <c r="D718" s="367"/>
      <c r="E718" s="414"/>
      <c r="F718" s="167">
        <f t="shared" si="45"/>
        <v>0</v>
      </c>
    </row>
    <row r="719" spans="1:6" ht="18" hidden="1" customHeight="1">
      <c r="A719" s="282"/>
      <c r="B719" s="474"/>
      <c r="C719" s="235" t="s">
        <v>592</v>
      </c>
      <c r="D719" s="367"/>
      <c r="E719" s="414"/>
      <c r="F719" s="167">
        <f t="shared" si="45"/>
        <v>0</v>
      </c>
    </row>
    <row r="720" spans="1:6" ht="18" hidden="1" customHeight="1">
      <c r="A720" s="219" t="s">
        <v>55</v>
      </c>
      <c r="B720" s="474"/>
      <c r="C720" s="224" t="s">
        <v>56</v>
      </c>
      <c r="D720" s="367"/>
      <c r="E720" s="414"/>
      <c r="F720" s="167">
        <f t="shared" si="45"/>
        <v>0</v>
      </c>
    </row>
    <row r="721" spans="1:6" ht="18" hidden="1" customHeight="1">
      <c r="A721" s="215"/>
      <c r="B721" s="222" t="s">
        <v>100</v>
      </c>
      <c r="C721" s="224" t="s">
        <v>58</v>
      </c>
      <c r="D721" s="367"/>
      <c r="E721" s="414"/>
      <c r="F721" s="167">
        <f t="shared" ref="F721:F783" si="46">D721+E721</f>
        <v>0</v>
      </c>
    </row>
    <row r="722" spans="1:6" ht="18" hidden="1" customHeight="1">
      <c r="A722" s="215"/>
      <c r="B722" s="460"/>
      <c r="C722" s="235">
        <v>55</v>
      </c>
      <c r="D722" s="367"/>
      <c r="E722" s="414"/>
      <c r="F722" s="167">
        <f t="shared" si="46"/>
        <v>0</v>
      </c>
    </row>
    <row r="723" spans="1:6" ht="18" hidden="1" customHeight="1">
      <c r="A723" s="219" t="s">
        <v>444</v>
      </c>
      <c r="B723" s="460"/>
      <c r="C723" s="224" t="s">
        <v>67</v>
      </c>
      <c r="D723" s="367"/>
      <c r="E723" s="414"/>
      <c r="F723" s="167">
        <f t="shared" si="46"/>
        <v>0</v>
      </c>
    </row>
    <row r="724" spans="1:6" ht="36" hidden="1" customHeight="1">
      <c r="A724" s="215"/>
      <c r="B724" s="220" t="s">
        <v>68</v>
      </c>
      <c r="C724" s="224" t="s">
        <v>622</v>
      </c>
      <c r="D724" s="367"/>
      <c r="E724" s="414"/>
      <c r="F724" s="167">
        <f t="shared" si="46"/>
        <v>0</v>
      </c>
    </row>
    <row r="725" spans="1:6" ht="18" hidden="1" customHeight="1">
      <c r="A725" s="231"/>
      <c r="B725" s="474"/>
      <c r="C725" s="224">
        <v>70</v>
      </c>
      <c r="D725" s="367"/>
      <c r="E725" s="414"/>
      <c r="F725" s="167">
        <f t="shared" si="46"/>
        <v>0</v>
      </c>
    </row>
    <row r="726" spans="1:6" ht="18" hidden="1" customHeight="1">
      <c r="A726" s="238"/>
      <c r="B726" s="474"/>
      <c r="C726" s="224">
        <v>71</v>
      </c>
      <c r="D726" s="367"/>
      <c r="E726" s="414"/>
      <c r="F726" s="167">
        <f t="shared" si="46"/>
        <v>0</v>
      </c>
    </row>
    <row r="727" spans="1:6" ht="18" hidden="1" customHeight="1">
      <c r="A727" s="219" t="s">
        <v>127</v>
      </c>
      <c r="B727" s="474"/>
      <c r="C727" s="224" t="s">
        <v>80</v>
      </c>
      <c r="D727" s="367"/>
      <c r="E727" s="414"/>
      <c r="F727" s="167">
        <f t="shared" si="46"/>
        <v>0</v>
      </c>
    </row>
    <row r="728" spans="1:6" ht="18" hidden="1" customHeight="1">
      <c r="A728" s="219"/>
      <c r="B728" s="218" t="s">
        <v>81</v>
      </c>
      <c r="C728" s="241" t="s">
        <v>82</v>
      </c>
      <c r="D728" s="367"/>
      <c r="E728" s="414"/>
      <c r="F728" s="167">
        <f t="shared" si="46"/>
        <v>0</v>
      </c>
    </row>
    <row r="729" spans="1:6" ht="18" hidden="1" customHeight="1">
      <c r="A729" s="219"/>
      <c r="B729" s="220" t="s">
        <v>83</v>
      </c>
      <c r="C729" s="241" t="s">
        <v>84</v>
      </c>
      <c r="D729" s="367"/>
      <c r="E729" s="414"/>
      <c r="F729" s="167">
        <f t="shared" si="46"/>
        <v>0</v>
      </c>
    </row>
    <row r="730" spans="1:6" ht="18" hidden="1" customHeight="1">
      <c r="A730" s="219"/>
      <c r="B730" s="220" t="s">
        <v>94</v>
      </c>
      <c r="C730" s="241" t="s">
        <v>86</v>
      </c>
      <c r="D730" s="367"/>
      <c r="E730" s="414"/>
      <c r="F730" s="167">
        <f t="shared" si="46"/>
        <v>0</v>
      </c>
    </row>
    <row r="731" spans="1:6" ht="18" hidden="1" customHeight="1">
      <c r="A731" s="219"/>
      <c r="B731" s="220" t="s">
        <v>445</v>
      </c>
      <c r="C731" s="241" t="s">
        <v>88</v>
      </c>
      <c r="D731" s="367"/>
      <c r="E731" s="414"/>
      <c r="F731" s="167">
        <f t="shared" si="46"/>
        <v>0</v>
      </c>
    </row>
    <row r="732" spans="1:6" ht="18" hidden="1" customHeight="1">
      <c r="A732" s="526" t="s">
        <v>268</v>
      </c>
      <c r="B732" s="529"/>
      <c r="C732" s="241" t="s">
        <v>269</v>
      </c>
      <c r="D732" s="367"/>
      <c r="E732" s="414"/>
      <c r="F732" s="167">
        <f t="shared" si="46"/>
        <v>0</v>
      </c>
    </row>
    <row r="733" spans="1:6" ht="18" hidden="1" customHeight="1">
      <c r="A733" s="215"/>
      <c r="B733" s="220"/>
      <c r="C733" s="224">
        <v>79</v>
      </c>
      <c r="D733" s="367"/>
      <c r="E733" s="414"/>
      <c r="F733" s="167">
        <f t="shared" si="46"/>
        <v>0</v>
      </c>
    </row>
    <row r="734" spans="1:6" ht="18" hidden="1" customHeight="1">
      <c r="A734" s="219"/>
      <c r="B734" s="220"/>
      <c r="C734" s="224">
        <v>81</v>
      </c>
      <c r="D734" s="367"/>
      <c r="E734" s="414"/>
      <c r="F734" s="167">
        <f t="shared" si="46"/>
        <v>0</v>
      </c>
    </row>
    <row r="735" spans="1:6" ht="18" hidden="1" customHeight="1">
      <c r="A735" s="206" t="s">
        <v>278</v>
      </c>
      <c r="B735" s="220"/>
      <c r="C735" s="224" t="s">
        <v>279</v>
      </c>
      <c r="D735" s="367"/>
      <c r="E735" s="414"/>
      <c r="F735" s="167">
        <f t="shared" si="46"/>
        <v>0</v>
      </c>
    </row>
    <row r="736" spans="1:6" ht="18" hidden="1" customHeight="1">
      <c r="A736" s="206" t="s">
        <v>629</v>
      </c>
      <c r="B736" s="220"/>
      <c r="C736" s="224" t="s">
        <v>602</v>
      </c>
      <c r="D736" s="367"/>
      <c r="E736" s="414"/>
      <c r="F736" s="167">
        <f t="shared" si="46"/>
        <v>0</v>
      </c>
    </row>
    <row r="737" spans="1:6" ht="18.75" hidden="1" customHeight="1">
      <c r="A737" s="242"/>
      <c r="B737" s="243"/>
      <c r="C737" s="224"/>
      <c r="D737" s="367"/>
      <c r="E737" s="414"/>
      <c r="F737" s="167">
        <f t="shared" si="46"/>
        <v>0</v>
      </c>
    </row>
    <row r="738" spans="1:6" ht="18" hidden="1" customHeight="1">
      <c r="A738" s="244" t="s">
        <v>181</v>
      </c>
      <c r="B738" s="220"/>
      <c r="C738" s="224" t="s">
        <v>627</v>
      </c>
      <c r="D738" s="248"/>
      <c r="E738" s="214"/>
      <c r="F738" s="167">
        <f t="shared" si="46"/>
        <v>0</v>
      </c>
    </row>
    <row r="739" spans="1:6" ht="18" hidden="1" customHeight="1">
      <c r="A739" s="244" t="s">
        <v>446</v>
      </c>
      <c r="B739" s="220"/>
      <c r="C739" s="224" t="s">
        <v>447</v>
      </c>
      <c r="D739" s="248"/>
      <c r="E739" s="214"/>
      <c r="F739" s="167">
        <f t="shared" si="46"/>
        <v>0</v>
      </c>
    </row>
    <row r="740" spans="1:6" ht="18" hidden="1" customHeight="1">
      <c r="A740" s="236" t="s">
        <v>448</v>
      </c>
      <c r="B740" s="220"/>
      <c r="C740" s="224" t="s">
        <v>449</v>
      </c>
      <c r="D740" s="248"/>
      <c r="E740" s="214"/>
      <c r="F740" s="167">
        <f t="shared" si="46"/>
        <v>0</v>
      </c>
    </row>
    <row r="741" spans="1:6" ht="18.75" hidden="1" customHeight="1">
      <c r="A741" s="242"/>
      <c r="B741" s="243"/>
      <c r="C741" s="224"/>
      <c r="D741" s="248"/>
      <c r="E741" s="214"/>
      <c r="F741" s="167">
        <f t="shared" si="46"/>
        <v>0</v>
      </c>
    </row>
    <row r="742" spans="1:6" ht="20.25" hidden="1">
      <c r="A742" s="204" t="s">
        <v>182</v>
      </c>
      <c r="B742" s="277"/>
      <c r="C742" s="202" t="s">
        <v>603</v>
      </c>
      <c r="D742" s="349">
        <f>D767</f>
        <v>0</v>
      </c>
      <c r="E742" s="354">
        <f>E767</f>
        <v>0</v>
      </c>
      <c r="F742" s="167">
        <f t="shared" si="46"/>
        <v>0</v>
      </c>
    </row>
    <row r="743" spans="1:6" ht="18" hidden="1" customHeight="1">
      <c r="A743" s="247" t="s">
        <v>99</v>
      </c>
      <c r="B743" s="474"/>
      <c r="C743" s="235" t="s">
        <v>49</v>
      </c>
      <c r="D743" s="248">
        <f>D749+D744+D745+D746</f>
        <v>0</v>
      </c>
      <c r="E743" s="214">
        <f>E749+E744+E745+E746</f>
        <v>0</v>
      </c>
      <c r="F743" s="167">
        <f t="shared" si="46"/>
        <v>0</v>
      </c>
    </row>
    <row r="744" spans="1:6" ht="18" hidden="1" customHeight="1">
      <c r="A744" s="204" t="s">
        <v>561</v>
      </c>
      <c r="B744" s="474"/>
      <c r="C744" s="235">
        <v>10</v>
      </c>
      <c r="D744" s="248"/>
      <c r="E744" s="214"/>
      <c r="F744" s="167">
        <f t="shared" si="46"/>
        <v>0</v>
      </c>
    </row>
    <row r="745" spans="1:6" ht="18" hidden="1" customHeight="1">
      <c r="A745" s="206" t="s">
        <v>562</v>
      </c>
      <c r="B745" s="474"/>
      <c r="C745" s="224">
        <v>20</v>
      </c>
      <c r="D745" s="248">
        <f>D1559</f>
        <v>0</v>
      </c>
      <c r="E745" s="214">
        <f>E1559</f>
        <v>0</v>
      </c>
      <c r="F745" s="167">
        <f t="shared" si="46"/>
        <v>0</v>
      </c>
    </row>
    <row r="746" spans="1:6" ht="18" hidden="1" customHeight="1">
      <c r="A746" s="219" t="s">
        <v>54</v>
      </c>
      <c r="B746" s="474"/>
      <c r="C746" s="235" t="s">
        <v>592</v>
      </c>
      <c r="D746" s="248"/>
      <c r="E746" s="214"/>
      <c r="F746" s="167">
        <f t="shared" si="46"/>
        <v>0</v>
      </c>
    </row>
    <row r="747" spans="1:6" ht="18" hidden="1" customHeight="1">
      <c r="A747" s="215"/>
      <c r="B747" s="474"/>
      <c r="C747" s="224" t="s">
        <v>56</v>
      </c>
      <c r="D747" s="248"/>
      <c r="E747" s="214"/>
      <c r="F747" s="167">
        <f t="shared" si="46"/>
        <v>0</v>
      </c>
    </row>
    <row r="748" spans="1:6" ht="18" hidden="1" customHeight="1">
      <c r="A748" s="215"/>
      <c r="B748" s="222" t="s">
        <v>100</v>
      </c>
      <c r="C748" s="224" t="s">
        <v>58</v>
      </c>
      <c r="D748" s="248"/>
      <c r="E748" s="214"/>
      <c r="F748" s="167">
        <f t="shared" si="46"/>
        <v>0</v>
      </c>
    </row>
    <row r="749" spans="1:6" ht="36" hidden="1" customHeight="1">
      <c r="A749" s="520" t="s">
        <v>321</v>
      </c>
      <c r="B749" s="529"/>
      <c r="C749" s="235">
        <v>56</v>
      </c>
      <c r="D749" s="248">
        <f>D2386</f>
        <v>0</v>
      </c>
      <c r="E749" s="214">
        <f>E2386</f>
        <v>0</v>
      </c>
      <c r="F749" s="167">
        <f t="shared" si="46"/>
        <v>0</v>
      </c>
    </row>
    <row r="750" spans="1:6" ht="18" hidden="1" customHeight="1">
      <c r="A750" s="215"/>
      <c r="B750" s="222" t="s">
        <v>315</v>
      </c>
      <c r="C750" s="224" t="s">
        <v>324</v>
      </c>
      <c r="D750" s="248">
        <f>D2387</f>
        <v>0</v>
      </c>
      <c r="E750" s="214">
        <f>E2387</f>
        <v>0</v>
      </c>
      <c r="F750" s="167">
        <f t="shared" si="46"/>
        <v>0</v>
      </c>
    </row>
    <row r="751" spans="1:6" ht="18" hidden="1" customHeight="1">
      <c r="A751" s="261" t="s">
        <v>475</v>
      </c>
      <c r="B751" s="474"/>
      <c r="C751" s="224">
        <v>70</v>
      </c>
      <c r="D751" s="248"/>
      <c r="E751" s="214"/>
      <c r="F751" s="167">
        <f t="shared" si="46"/>
        <v>0</v>
      </c>
    </row>
    <row r="752" spans="1:6" ht="18" hidden="1" customHeight="1">
      <c r="A752" s="226" t="s">
        <v>317</v>
      </c>
      <c r="B752" s="474"/>
      <c r="C752" s="224">
        <v>71</v>
      </c>
      <c r="D752" s="248"/>
      <c r="E752" s="214"/>
      <c r="F752" s="167">
        <f t="shared" si="46"/>
        <v>0</v>
      </c>
    </row>
    <row r="753" spans="1:6" ht="18" hidden="1" customHeight="1">
      <c r="A753" s="219" t="s">
        <v>110</v>
      </c>
      <c r="B753" s="474"/>
      <c r="C753" s="224" t="s">
        <v>80</v>
      </c>
      <c r="D753" s="248"/>
      <c r="E753" s="214"/>
      <c r="F753" s="167">
        <f t="shared" si="46"/>
        <v>0</v>
      </c>
    </row>
    <row r="754" spans="1:6" ht="18" hidden="1" customHeight="1">
      <c r="A754" s="219"/>
      <c r="B754" s="218" t="s">
        <v>81</v>
      </c>
      <c r="C754" s="241" t="s">
        <v>82</v>
      </c>
      <c r="D754" s="248"/>
      <c r="E754" s="214"/>
      <c r="F754" s="167">
        <f t="shared" si="46"/>
        <v>0</v>
      </c>
    </row>
    <row r="755" spans="1:6" ht="18" hidden="1" customHeight="1">
      <c r="A755" s="219"/>
      <c r="B755" s="220" t="s">
        <v>83</v>
      </c>
      <c r="C755" s="241" t="s">
        <v>84</v>
      </c>
      <c r="D755" s="248"/>
      <c r="E755" s="214"/>
      <c r="F755" s="167">
        <f t="shared" si="46"/>
        <v>0</v>
      </c>
    </row>
    <row r="756" spans="1:6" ht="18" hidden="1" customHeight="1">
      <c r="A756" s="219"/>
      <c r="B756" s="220" t="s">
        <v>94</v>
      </c>
      <c r="C756" s="241" t="s">
        <v>86</v>
      </c>
      <c r="D756" s="248"/>
      <c r="E756" s="214"/>
      <c r="F756" s="167">
        <f t="shared" si="46"/>
        <v>0</v>
      </c>
    </row>
    <row r="757" spans="1:6" ht="18" hidden="1" customHeight="1">
      <c r="A757" s="219"/>
      <c r="B757" s="220" t="s">
        <v>87</v>
      </c>
      <c r="C757" s="241" t="s">
        <v>88</v>
      </c>
      <c r="D757" s="248"/>
      <c r="E757" s="214"/>
      <c r="F757" s="167">
        <f t="shared" si="46"/>
        <v>0</v>
      </c>
    </row>
    <row r="758" spans="1:6" ht="18" hidden="1" customHeight="1">
      <c r="A758" s="526" t="s">
        <v>268</v>
      </c>
      <c r="B758" s="529"/>
      <c r="C758" s="241" t="s">
        <v>269</v>
      </c>
      <c r="D758" s="248"/>
      <c r="E758" s="214"/>
      <c r="F758" s="167">
        <f t="shared" si="46"/>
        <v>0</v>
      </c>
    </row>
    <row r="759" spans="1:6" ht="18.75" hidden="1" customHeight="1">
      <c r="A759" s="242"/>
      <c r="B759" s="243"/>
      <c r="C759" s="224"/>
      <c r="D759" s="248"/>
      <c r="E759" s="214"/>
      <c r="F759" s="167">
        <f t="shared" si="46"/>
        <v>0</v>
      </c>
    </row>
    <row r="760" spans="1:6" ht="23.25" hidden="1" customHeight="1">
      <c r="A760" s="242"/>
      <c r="B760" s="474" t="s">
        <v>357</v>
      </c>
      <c r="C760" s="224" t="s">
        <v>358</v>
      </c>
      <c r="D760" s="248">
        <f>D2397</f>
        <v>0</v>
      </c>
      <c r="E760" s="214">
        <f>E2397</f>
        <v>0</v>
      </c>
      <c r="F760" s="167">
        <f t="shared" si="46"/>
        <v>0</v>
      </c>
    </row>
    <row r="761" spans="1:6" ht="18.75" hidden="1" customHeight="1">
      <c r="A761" s="242"/>
      <c r="B761" s="474" t="s">
        <v>116</v>
      </c>
      <c r="C761" s="224">
        <v>70</v>
      </c>
      <c r="D761" s="248">
        <f>D2388</f>
        <v>0</v>
      </c>
      <c r="E761" s="214">
        <f>E2388</f>
        <v>0</v>
      </c>
      <c r="F761" s="167">
        <f t="shared" si="46"/>
        <v>0</v>
      </c>
    </row>
    <row r="762" spans="1:6" ht="18.75" hidden="1" customHeight="1">
      <c r="A762" s="226" t="s">
        <v>657</v>
      </c>
      <c r="B762" s="474"/>
      <c r="C762" s="224">
        <v>71</v>
      </c>
      <c r="D762" s="248">
        <f>D2389</f>
        <v>0</v>
      </c>
      <c r="E762" s="214">
        <f>E2389</f>
        <v>0</v>
      </c>
      <c r="F762" s="167">
        <f t="shared" si="46"/>
        <v>0</v>
      </c>
    </row>
    <row r="763" spans="1:6" ht="18.75" hidden="1" customHeight="1">
      <c r="A763" s="261" t="s">
        <v>614</v>
      </c>
      <c r="B763" s="220"/>
      <c r="C763" s="224">
        <v>79</v>
      </c>
      <c r="D763" s="248">
        <f>D764</f>
        <v>0</v>
      </c>
      <c r="E763" s="214">
        <f>E764</f>
        <v>0</v>
      </c>
      <c r="F763" s="167">
        <f t="shared" si="46"/>
        <v>0</v>
      </c>
    </row>
    <row r="764" spans="1:6" ht="18.75" hidden="1" customHeight="1">
      <c r="A764" s="549" t="s">
        <v>660</v>
      </c>
      <c r="B764" s="529"/>
      <c r="C764" s="224">
        <v>81</v>
      </c>
      <c r="D764" s="367">
        <f>D765+D766</f>
        <v>0</v>
      </c>
      <c r="E764" s="414">
        <f>E765+E766</f>
        <v>0</v>
      </c>
      <c r="F764" s="167">
        <f t="shared" si="46"/>
        <v>0</v>
      </c>
    </row>
    <row r="765" spans="1:6" ht="18.75" hidden="1" customHeight="1">
      <c r="A765" s="242"/>
      <c r="B765" s="474" t="s">
        <v>902</v>
      </c>
      <c r="C765" s="224" t="s">
        <v>903</v>
      </c>
      <c r="D765" s="248">
        <f>D1578</f>
        <v>0</v>
      </c>
      <c r="E765" s="214">
        <f>E1578</f>
        <v>0</v>
      </c>
      <c r="F765" s="167">
        <f t="shared" si="46"/>
        <v>0</v>
      </c>
    </row>
    <row r="766" spans="1:6" ht="33.75" hidden="1" customHeight="1">
      <c r="A766" s="242"/>
      <c r="B766" s="476" t="s">
        <v>887</v>
      </c>
      <c r="C766" s="428" t="s">
        <v>888</v>
      </c>
      <c r="D766" s="248">
        <f>D2402</f>
        <v>0</v>
      </c>
      <c r="E766" s="214">
        <f>E2402</f>
        <v>0</v>
      </c>
      <c r="F766" s="167">
        <f t="shared" si="46"/>
        <v>0</v>
      </c>
    </row>
    <row r="767" spans="1:6" ht="18.75" hidden="1" customHeight="1">
      <c r="A767" s="236" t="s">
        <v>183</v>
      </c>
      <c r="B767" s="277"/>
      <c r="C767" s="224" t="s">
        <v>184</v>
      </c>
      <c r="D767" s="248">
        <f>D768+D769</f>
        <v>0</v>
      </c>
      <c r="E767" s="214">
        <f>E768+E769</f>
        <v>0</v>
      </c>
      <c r="F767" s="167">
        <f t="shared" si="46"/>
        <v>0</v>
      </c>
    </row>
    <row r="768" spans="1:6" ht="18" hidden="1" customHeight="1">
      <c r="A768" s="236"/>
      <c r="B768" s="475" t="s">
        <v>359</v>
      </c>
      <c r="C768" s="224" t="s">
        <v>360</v>
      </c>
      <c r="D768" s="248">
        <f>D2404</f>
        <v>0</v>
      </c>
      <c r="E768" s="214">
        <f>E2404</f>
        <v>0</v>
      </c>
      <c r="F768" s="167">
        <f t="shared" si="46"/>
        <v>0</v>
      </c>
    </row>
    <row r="769" spans="1:6" ht="18" hidden="1" customHeight="1">
      <c r="A769" s="236"/>
      <c r="B769" s="220" t="s">
        <v>185</v>
      </c>
      <c r="C769" s="241" t="s">
        <v>628</v>
      </c>
      <c r="D769" s="367">
        <f>D1581+D2405</f>
        <v>0</v>
      </c>
      <c r="E769" s="414">
        <f>E1581+E2405</f>
        <v>0</v>
      </c>
      <c r="F769" s="167">
        <f t="shared" si="46"/>
        <v>0</v>
      </c>
    </row>
    <row r="770" spans="1:6" ht="18" hidden="1" customHeight="1">
      <c r="A770" s="271"/>
      <c r="B770" s="474"/>
      <c r="C770" s="224"/>
      <c r="D770" s="248"/>
      <c r="E770" s="214"/>
      <c r="F770" s="167">
        <f t="shared" si="46"/>
        <v>0</v>
      </c>
    </row>
    <row r="771" spans="1:6" ht="20.25">
      <c r="A771" s="283"/>
      <c r="B771" s="284" t="s">
        <v>302</v>
      </c>
      <c r="C771" s="202" t="s">
        <v>604</v>
      </c>
      <c r="D771" s="350">
        <f>D804+D810</f>
        <v>189847.41</v>
      </c>
      <c r="E771" s="409">
        <f>E804+E810</f>
        <v>4633</v>
      </c>
      <c r="F771" s="167">
        <f t="shared" si="46"/>
        <v>194480.41</v>
      </c>
    </row>
    <row r="772" spans="1:6" ht="18" customHeight="1">
      <c r="A772" s="247" t="s">
        <v>114</v>
      </c>
      <c r="B772" s="474"/>
      <c r="C772" s="235" t="s">
        <v>49</v>
      </c>
      <c r="D772" s="367">
        <f>D773+D774+D775+D777+D780+D785</f>
        <v>44744.41</v>
      </c>
      <c r="E772" s="414">
        <f>E773+E774+E775+E777+E780+E785</f>
        <v>0</v>
      </c>
      <c r="F772" s="167">
        <f t="shared" si="46"/>
        <v>44744.41</v>
      </c>
    </row>
    <row r="773" spans="1:6" ht="18" hidden="1" customHeight="1">
      <c r="A773" s="204" t="s">
        <v>561</v>
      </c>
      <c r="B773" s="474"/>
      <c r="C773" s="235">
        <v>10</v>
      </c>
      <c r="D773" s="248"/>
      <c r="E773" s="214"/>
      <c r="F773" s="167">
        <f t="shared" si="46"/>
        <v>0</v>
      </c>
    </row>
    <row r="774" spans="1:6" ht="18" customHeight="1">
      <c r="A774" s="206" t="s">
        <v>562</v>
      </c>
      <c r="B774" s="474"/>
      <c r="C774" s="224">
        <v>20</v>
      </c>
      <c r="D774" s="248">
        <f>D1586</f>
        <v>28977</v>
      </c>
      <c r="E774" s="214">
        <f>E1586</f>
        <v>0</v>
      </c>
      <c r="F774" s="167">
        <f t="shared" si="46"/>
        <v>28977</v>
      </c>
    </row>
    <row r="775" spans="1:6" ht="18" customHeight="1">
      <c r="A775" s="219" t="s">
        <v>611</v>
      </c>
      <c r="B775" s="474"/>
      <c r="C775" s="235" t="s">
        <v>52</v>
      </c>
      <c r="D775" s="367">
        <f>D776</f>
        <v>14294.83</v>
      </c>
      <c r="E775" s="414">
        <f>E776</f>
        <v>0</v>
      </c>
      <c r="F775" s="167">
        <f t="shared" si="46"/>
        <v>14294.83</v>
      </c>
    </row>
    <row r="776" spans="1:6" ht="18" customHeight="1">
      <c r="A776" s="219" t="s">
        <v>53</v>
      </c>
      <c r="B776" s="474"/>
      <c r="C776" s="235" t="s">
        <v>626</v>
      </c>
      <c r="D776" s="248">
        <f>D1588</f>
        <v>14294.83</v>
      </c>
      <c r="E776" s="214">
        <f>E1588</f>
        <v>0</v>
      </c>
      <c r="F776" s="167">
        <f t="shared" si="46"/>
        <v>14294.83</v>
      </c>
    </row>
    <row r="777" spans="1:6" ht="18" customHeight="1">
      <c r="A777" s="282" t="s">
        <v>1023</v>
      </c>
      <c r="B777" s="474"/>
      <c r="C777" s="235" t="s">
        <v>592</v>
      </c>
      <c r="D777" s="248">
        <f t="shared" ref="D777:E779" si="47">D2413</f>
        <v>1370</v>
      </c>
      <c r="E777" s="214">
        <f t="shared" si="47"/>
        <v>0</v>
      </c>
      <c r="F777" s="167">
        <f t="shared" si="46"/>
        <v>1370</v>
      </c>
    </row>
    <row r="778" spans="1:6" ht="18" customHeight="1">
      <c r="A778" s="219" t="s">
        <v>63</v>
      </c>
      <c r="B778" s="474"/>
      <c r="C778" s="235" t="s">
        <v>560</v>
      </c>
      <c r="D778" s="248">
        <f t="shared" si="47"/>
        <v>1370</v>
      </c>
      <c r="E778" s="214">
        <f t="shared" si="47"/>
        <v>0</v>
      </c>
      <c r="F778" s="167">
        <f t="shared" si="46"/>
        <v>1370</v>
      </c>
    </row>
    <row r="779" spans="1:6" ht="18" customHeight="1">
      <c r="A779" s="215"/>
      <c r="B779" s="222" t="s">
        <v>1022</v>
      </c>
      <c r="C779" s="224" t="s">
        <v>1021</v>
      </c>
      <c r="D779" s="248">
        <f t="shared" si="47"/>
        <v>1370</v>
      </c>
      <c r="E779" s="214">
        <f t="shared" si="47"/>
        <v>0</v>
      </c>
      <c r="F779" s="167">
        <f t="shared" si="46"/>
        <v>1370</v>
      </c>
    </row>
    <row r="780" spans="1:6" ht="18" customHeight="1">
      <c r="A780" s="219" t="s">
        <v>612</v>
      </c>
      <c r="B780" s="474"/>
      <c r="C780" s="235" t="s">
        <v>159</v>
      </c>
      <c r="D780" s="248">
        <f>D781</f>
        <v>102.58</v>
      </c>
      <c r="E780" s="214">
        <f>E781</f>
        <v>0</v>
      </c>
      <c r="F780" s="167">
        <f t="shared" si="46"/>
        <v>102.58</v>
      </c>
    </row>
    <row r="781" spans="1:6" ht="20.25">
      <c r="A781" s="219" t="s">
        <v>66</v>
      </c>
      <c r="B781" s="474"/>
      <c r="C781" s="224" t="s">
        <v>67</v>
      </c>
      <c r="D781" s="248">
        <f>D782+D783</f>
        <v>102.58</v>
      </c>
      <c r="E781" s="248">
        <f>E782+E783</f>
        <v>0</v>
      </c>
      <c r="F781" s="167">
        <f t="shared" si="46"/>
        <v>102.58</v>
      </c>
    </row>
    <row r="782" spans="1:6" ht="20.25">
      <c r="A782" s="219"/>
      <c r="B782" s="220" t="s">
        <v>68</v>
      </c>
      <c r="C782" s="224" t="s">
        <v>622</v>
      </c>
      <c r="D782" s="248">
        <f>D2418</f>
        <v>0</v>
      </c>
      <c r="E782" s="214">
        <f>E2418</f>
        <v>0</v>
      </c>
      <c r="F782" s="167">
        <f t="shared" si="46"/>
        <v>0</v>
      </c>
    </row>
    <row r="783" spans="1:6" ht="20.25">
      <c r="A783" s="215"/>
      <c r="B783" s="222" t="s">
        <v>347</v>
      </c>
      <c r="C783" s="224" t="s">
        <v>329</v>
      </c>
      <c r="D783" s="248">
        <f>D2419</f>
        <v>102.58</v>
      </c>
      <c r="E783" s="248">
        <f>E2419</f>
        <v>0</v>
      </c>
      <c r="F783" s="167">
        <f t="shared" si="46"/>
        <v>102.58</v>
      </c>
    </row>
    <row r="784" spans="1:6" ht="18" customHeight="1">
      <c r="A784" s="546" t="s">
        <v>1065</v>
      </c>
      <c r="B784" s="529"/>
      <c r="C784" s="224">
        <v>56</v>
      </c>
      <c r="D784" s="248">
        <f>D2421</f>
        <v>39081</v>
      </c>
      <c r="E784" s="214">
        <f>E2421</f>
        <v>0</v>
      </c>
      <c r="F784" s="167">
        <f>D784+E784</f>
        <v>39081</v>
      </c>
    </row>
    <row r="785" spans="1:6" s="143" customFormat="1" ht="20.25">
      <c r="A785" s="556" t="s">
        <v>934</v>
      </c>
      <c r="B785" s="529"/>
      <c r="C785" s="374">
        <v>58</v>
      </c>
      <c r="D785" s="378">
        <f t="shared" ref="D785:E787" si="48">D2422</f>
        <v>0</v>
      </c>
      <c r="E785" s="415">
        <f t="shared" si="48"/>
        <v>0</v>
      </c>
      <c r="F785" s="266">
        <f t="shared" ref="F785:F848" si="49">D785+E785</f>
        <v>0</v>
      </c>
    </row>
    <row r="786" spans="1:6" ht="36.75" customHeight="1">
      <c r="A786" s="550" t="s">
        <v>1002</v>
      </c>
      <c r="B786" s="529"/>
      <c r="C786" s="395">
        <v>60</v>
      </c>
      <c r="D786" s="248">
        <f t="shared" si="48"/>
        <v>72589</v>
      </c>
      <c r="E786" s="214">
        <f t="shared" si="48"/>
        <v>0</v>
      </c>
      <c r="F786" s="167">
        <f t="shared" si="49"/>
        <v>72589</v>
      </c>
    </row>
    <row r="787" spans="1:6" ht="42.75" hidden="1" customHeight="1">
      <c r="A787" s="522" t="s">
        <v>1013</v>
      </c>
      <c r="B787" s="529"/>
      <c r="C787" s="224">
        <v>61</v>
      </c>
      <c r="D787" s="248">
        <f t="shared" si="48"/>
        <v>0</v>
      </c>
      <c r="E787" s="214">
        <f t="shared" si="48"/>
        <v>0</v>
      </c>
      <c r="F787" s="167">
        <f t="shared" si="49"/>
        <v>0</v>
      </c>
    </row>
    <row r="788" spans="1:6" ht="18" customHeight="1">
      <c r="A788" s="261" t="s">
        <v>475</v>
      </c>
      <c r="B788" s="474"/>
      <c r="C788" s="224">
        <v>70</v>
      </c>
      <c r="D788" s="367">
        <f>D789+D794</f>
        <v>32466</v>
      </c>
      <c r="E788" s="414">
        <f>E789+E794</f>
        <v>4633</v>
      </c>
      <c r="F788" s="167">
        <f t="shared" si="49"/>
        <v>37099</v>
      </c>
    </row>
    <row r="789" spans="1:6" ht="20.25" customHeight="1">
      <c r="A789" s="226" t="s">
        <v>1014</v>
      </c>
      <c r="B789" s="474"/>
      <c r="C789" s="224">
        <v>71</v>
      </c>
      <c r="D789" s="248">
        <f>D2426</f>
        <v>32466</v>
      </c>
      <c r="E789" s="214">
        <f>E2426</f>
        <v>4633</v>
      </c>
      <c r="F789" s="167">
        <f t="shared" si="49"/>
        <v>37099</v>
      </c>
    </row>
    <row r="790" spans="1:6" ht="20.25" hidden="1">
      <c r="A790" s="219"/>
      <c r="B790" s="218" t="s">
        <v>81</v>
      </c>
      <c r="C790" s="241" t="s">
        <v>82</v>
      </c>
      <c r="D790" s="248"/>
      <c r="E790" s="214"/>
      <c r="F790" s="167">
        <f t="shared" si="49"/>
        <v>0</v>
      </c>
    </row>
    <row r="791" spans="1:6" ht="20.25" hidden="1">
      <c r="A791" s="219"/>
      <c r="B791" s="220" t="s">
        <v>83</v>
      </c>
      <c r="C791" s="241" t="s">
        <v>84</v>
      </c>
      <c r="D791" s="248"/>
      <c r="E791" s="214"/>
      <c r="F791" s="167">
        <f t="shared" si="49"/>
        <v>0</v>
      </c>
    </row>
    <row r="792" spans="1:6" ht="20.25" hidden="1">
      <c r="A792" s="219"/>
      <c r="B792" s="220" t="s">
        <v>94</v>
      </c>
      <c r="C792" s="241" t="s">
        <v>86</v>
      </c>
      <c r="D792" s="248"/>
      <c r="E792" s="214"/>
      <c r="F792" s="167">
        <f t="shared" si="49"/>
        <v>0</v>
      </c>
    </row>
    <row r="793" spans="1:6" ht="20.25" hidden="1">
      <c r="A793" s="219"/>
      <c r="B793" s="220" t="s">
        <v>87</v>
      </c>
      <c r="C793" s="241" t="s">
        <v>88</v>
      </c>
      <c r="D793" s="248"/>
      <c r="E793" s="214"/>
      <c r="F793" s="167">
        <f t="shared" si="49"/>
        <v>0</v>
      </c>
    </row>
    <row r="794" spans="1:6" ht="20.25" hidden="1">
      <c r="A794" s="526" t="s">
        <v>268</v>
      </c>
      <c r="B794" s="529"/>
      <c r="C794" s="241" t="s">
        <v>269</v>
      </c>
      <c r="D794" s="248"/>
      <c r="E794" s="214"/>
      <c r="F794" s="167">
        <f t="shared" si="49"/>
        <v>0</v>
      </c>
    </row>
    <row r="795" spans="1:6" ht="20.25" hidden="1">
      <c r="A795" s="219"/>
      <c r="B795" s="218"/>
      <c r="C795" s="224">
        <v>72</v>
      </c>
      <c r="D795" s="248"/>
      <c r="E795" s="214"/>
      <c r="F795" s="167">
        <f t="shared" si="49"/>
        <v>0</v>
      </c>
    </row>
    <row r="796" spans="1:6" ht="20.25" hidden="1">
      <c r="A796" s="229" t="s">
        <v>270</v>
      </c>
      <c r="B796" s="218"/>
      <c r="C796" s="224" t="s">
        <v>271</v>
      </c>
      <c r="D796" s="248"/>
      <c r="E796" s="214"/>
      <c r="F796" s="167">
        <f t="shared" si="49"/>
        <v>0</v>
      </c>
    </row>
    <row r="797" spans="1:6" ht="20.25" hidden="1">
      <c r="A797" s="229"/>
      <c r="B797" s="220" t="s">
        <v>427</v>
      </c>
      <c r="C797" s="224" t="s">
        <v>273</v>
      </c>
      <c r="D797" s="248"/>
      <c r="E797" s="214"/>
      <c r="F797" s="167">
        <f t="shared" si="49"/>
        <v>0</v>
      </c>
    </row>
    <row r="798" spans="1:6" ht="20.25">
      <c r="A798" s="261" t="s">
        <v>614</v>
      </c>
      <c r="B798" s="220"/>
      <c r="C798" s="224">
        <v>79</v>
      </c>
      <c r="D798" s="367">
        <f>D799</f>
        <v>967</v>
      </c>
      <c r="E798" s="414">
        <f>E799</f>
        <v>0</v>
      </c>
      <c r="F798" s="167">
        <f t="shared" si="49"/>
        <v>967</v>
      </c>
    </row>
    <row r="799" spans="1:6" ht="20.25">
      <c r="A799" s="206" t="s">
        <v>1020</v>
      </c>
      <c r="B799" s="220"/>
      <c r="C799" s="224">
        <v>81</v>
      </c>
      <c r="D799" s="367">
        <f>D800+D801</f>
        <v>967</v>
      </c>
      <c r="E799" s="414">
        <f>E800+E801</f>
        <v>0</v>
      </c>
      <c r="F799" s="167">
        <f t="shared" si="49"/>
        <v>967</v>
      </c>
    </row>
    <row r="800" spans="1:6" ht="18" customHeight="1">
      <c r="A800" s="398"/>
      <c r="B800" s="273" t="s">
        <v>629</v>
      </c>
      <c r="C800" s="224" t="s">
        <v>602</v>
      </c>
      <c r="D800" s="248">
        <f>D1611</f>
        <v>967</v>
      </c>
      <c r="E800" s="214">
        <f>E1611</f>
        <v>0</v>
      </c>
      <c r="F800" s="167">
        <f t="shared" si="49"/>
        <v>967</v>
      </c>
    </row>
    <row r="801" spans="1:6" ht="18" customHeight="1">
      <c r="A801" s="206"/>
      <c r="B801" s="463" t="s">
        <v>887</v>
      </c>
      <c r="C801" s="224" t="s">
        <v>888</v>
      </c>
      <c r="D801" s="367">
        <f>D2438</f>
        <v>0</v>
      </c>
      <c r="E801" s="414">
        <f>E2438</f>
        <v>0</v>
      </c>
      <c r="F801" s="167">
        <f t="shared" si="49"/>
        <v>0</v>
      </c>
    </row>
    <row r="802" spans="1:6" ht="18.75" hidden="1" customHeight="1">
      <c r="A802" s="557" t="s">
        <v>661</v>
      </c>
      <c r="B802" s="529"/>
      <c r="C802" s="224">
        <v>85</v>
      </c>
      <c r="D802" s="248">
        <f>D803</f>
        <v>0</v>
      </c>
      <c r="E802" s="214">
        <f>E803</f>
        <v>0</v>
      </c>
      <c r="F802" s="167">
        <f t="shared" si="49"/>
        <v>0</v>
      </c>
    </row>
    <row r="803" spans="1:6" ht="18.75" hidden="1" customHeight="1">
      <c r="A803" s="242"/>
      <c r="B803" s="220" t="s">
        <v>311</v>
      </c>
      <c r="C803" s="224" t="s">
        <v>312</v>
      </c>
      <c r="D803" s="248">
        <f>D2440</f>
        <v>0</v>
      </c>
      <c r="E803" s="214">
        <f>E2440</f>
        <v>0</v>
      </c>
      <c r="F803" s="167">
        <f t="shared" si="49"/>
        <v>0</v>
      </c>
    </row>
    <row r="804" spans="1:6" ht="18" customHeight="1">
      <c r="A804" s="244" t="s">
        <v>186</v>
      </c>
      <c r="B804" s="396"/>
      <c r="C804" s="224" t="s">
        <v>187</v>
      </c>
      <c r="D804" s="367">
        <f>D805+D806+D807</f>
        <v>175410.41</v>
      </c>
      <c r="E804" s="414">
        <f>E805+E806+E807</f>
        <v>4633</v>
      </c>
      <c r="F804" s="167">
        <f t="shared" si="49"/>
        <v>180043.41</v>
      </c>
    </row>
    <row r="805" spans="1:6" ht="20.25">
      <c r="A805" s="244"/>
      <c r="B805" s="220" t="s">
        <v>450</v>
      </c>
      <c r="C805" s="241" t="s">
        <v>451</v>
      </c>
      <c r="D805" s="367">
        <f>D2442</f>
        <v>1820</v>
      </c>
      <c r="E805" s="414">
        <f>E2442</f>
        <v>-100</v>
      </c>
      <c r="F805" s="167">
        <f t="shared" si="49"/>
        <v>1720</v>
      </c>
    </row>
    <row r="806" spans="1:6" ht="18" customHeight="1">
      <c r="A806" s="244"/>
      <c r="B806" s="220" t="s">
        <v>605</v>
      </c>
      <c r="C806" s="241" t="s">
        <v>606</v>
      </c>
      <c r="D806" s="367">
        <f>D1617+D2443</f>
        <v>83633.41</v>
      </c>
      <c r="E806" s="414">
        <f>E1617+E2443</f>
        <v>0</v>
      </c>
      <c r="F806" s="167">
        <f t="shared" si="49"/>
        <v>83633.41</v>
      </c>
    </row>
    <row r="807" spans="1:6" ht="18" customHeight="1">
      <c r="A807" s="244"/>
      <c r="B807" s="475" t="s">
        <v>607</v>
      </c>
      <c r="C807" s="241" t="s">
        <v>608</v>
      </c>
      <c r="D807" s="367">
        <f>D1618+D2444</f>
        <v>89957</v>
      </c>
      <c r="E807" s="414">
        <f>E1618+E2444</f>
        <v>4733</v>
      </c>
      <c r="F807" s="167">
        <f t="shared" si="49"/>
        <v>94690</v>
      </c>
    </row>
    <row r="808" spans="1:6" ht="18" hidden="1" customHeight="1">
      <c r="A808" s="244" t="s">
        <v>452</v>
      </c>
      <c r="B808" s="475"/>
      <c r="C808" s="224" t="s">
        <v>453</v>
      </c>
      <c r="D808" s="248"/>
      <c r="E808" s="214"/>
      <c r="F808" s="167">
        <f t="shared" si="49"/>
        <v>0</v>
      </c>
    </row>
    <row r="809" spans="1:6" ht="18" hidden="1" customHeight="1">
      <c r="A809" s="244"/>
      <c r="B809" s="475" t="s">
        <v>454</v>
      </c>
      <c r="C809" s="224" t="s">
        <v>455</v>
      </c>
      <c r="D809" s="248"/>
      <c r="E809" s="214"/>
      <c r="F809" s="167">
        <f t="shared" si="49"/>
        <v>0</v>
      </c>
    </row>
    <row r="810" spans="1:6" ht="18" customHeight="1">
      <c r="A810" s="244" t="s">
        <v>609</v>
      </c>
      <c r="B810" s="474"/>
      <c r="C810" s="224" t="s">
        <v>610</v>
      </c>
      <c r="D810" s="367">
        <f>D1621+D2447</f>
        <v>14437</v>
      </c>
      <c r="E810" s="414">
        <f>E1621+E2447</f>
        <v>0</v>
      </c>
      <c r="F810" s="167">
        <f t="shared" si="49"/>
        <v>14437</v>
      </c>
    </row>
    <row r="811" spans="1:6" ht="18.75" hidden="1" customHeight="1">
      <c r="A811" s="272"/>
      <c r="B811" s="220"/>
      <c r="C811" s="202" t="s">
        <v>457</v>
      </c>
      <c r="D811" s="248"/>
      <c r="E811" s="214"/>
      <c r="F811" s="167">
        <f t="shared" si="49"/>
        <v>0</v>
      </c>
    </row>
    <row r="812" spans="1:6" ht="18" hidden="1" customHeight="1">
      <c r="A812" s="231"/>
      <c r="B812" s="474"/>
      <c r="C812" s="235" t="s">
        <v>49</v>
      </c>
      <c r="D812" s="248"/>
      <c r="E812" s="214"/>
      <c r="F812" s="167">
        <f t="shared" si="49"/>
        <v>0</v>
      </c>
    </row>
    <row r="813" spans="1:6" ht="18" hidden="1" customHeight="1">
      <c r="A813" s="246"/>
      <c r="B813" s="474"/>
      <c r="C813" s="235">
        <v>10</v>
      </c>
      <c r="D813" s="248"/>
      <c r="E813" s="214"/>
      <c r="F813" s="167">
        <f t="shared" si="49"/>
        <v>0</v>
      </c>
    </row>
    <row r="814" spans="1:6" ht="18" hidden="1" customHeight="1">
      <c r="A814" s="246"/>
      <c r="B814" s="474"/>
      <c r="C814" s="224">
        <v>20</v>
      </c>
      <c r="D814" s="248">
        <f>D1661</f>
        <v>0</v>
      </c>
      <c r="E814" s="214">
        <f>E1661</f>
        <v>0</v>
      </c>
      <c r="F814" s="167">
        <f t="shared" si="49"/>
        <v>0</v>
      </c>
    </row>
    <row r="815" spans="1:6" ht="18" hidden="1" customHeight="1">
      <c r="A815" s="282"/>
      <c r="B815" s="474"/>
      <c r="C815" s="235" t="s">
        <v>592</v>
      </c>
      <c r="D815" s="248"/>
      <c r="E815" s="214"/>
      <c r="F815" s="167">
        <f t="shared" si="49"/>
        <v>0</v>
      </c>
    </row>
    <row r="816" spans="1:6" ht="18" hidden="1" customHeight="1">
      <c r="A816" s="219" t="s">
        <v>55</v>
      </c>
      <c r="B816" s="474"/>
      <c r="C816" s="235" t="s">
        <v>592</v>
      </c>
      <c r="D816" s="248"/>
      <c r="E816" s="214"/>
      <c r="F816" s="167">
        <f t="shared" si="49"/>
        <v>0</v>
      </c>
    </row>
    <row r="817" spans="1:6" ht="18" hidden="1" customHeight="1">
      <c r="A817" s="215"/>
      <c r="B817" s="222" t="s">
        <v>100</v>
      </c>
      <c r="C817" s="235" t="s">
        <v>58</v>
      </c>
      <c r="D817" s="248"/>
      <c r="E817" s="214"/>
      <c r="F817" s="167">
        <f t="shared" si="49"/>
        <v>0</v>
      </c>
    </row>
    <row r="818" spans="1:6" ht="18" hidden="1" customHeight="1">
      <c r="A818" s="219"/>
      <c r="B818" s="474"/>
      <c r="C818" s="235" t="s">
        <v>159</v>
      </c>
      <c r="D818" s="248"/>
      <c r="E818" s="214"/>
      <c r="F818" s="167">
        <f t="shared" si="49"/>
        <v>0</v>
      </c>
    </row>
    <row r="819" spans="1:6" ht="18" hidden="1" customHeight="1">
      <c r="A819" s="219" t="s">
        <v>160</v>
      </c>
      <c r="B819" s="474"/>
      <c r="C819" s="235" t="s">
        <v>67</v>
      </c>
      <c r="D819" s="248"/>
      <c r="E819" s="214"/>
      <c r="F819" s="167">
        <f t="shared" si="49"/>
        <v>0</v>
      </c>
    </row>
    <row r="820" spans="1:6" ht="18" hidden="1" customHeight="1">
      <c r="A820" s="215"/>
      <c r="B820" s="220" t="s">
        <v>458</v>
      </c>
      <c r="C820" s="224" t="s">
        <v>262</v>
      </c>
      <c r="D820" s="248"/>
      <c r="E820" s="214"/>
      <c r="F820" s="167">
        <f t="shared" si="49"/>
        <v>0</v>
      </c>
    </row>
    <row r="821" spans="1:6" ht="18" hidden="1" customHeight="1">
      <c r="A821" s="215"/>
      <c r="B821" s="222" t="s">
        <v>624</v>
      </c>
      <c r="C821" s="235" t="s">
        <v>625</v>
      </c>
      <c r="D821" s="248"/>
      <c r="E821" s="214"/>
      <c r="F821" s="167">
        <f t="shared" si="49"/>
        <v>0</v>
      </c>
    </row>
    <row r="822" spans="1:6" ht="18" hidden="1" customHeight="1">
      <c r="A822" s="215"/>
      <c r="B822" s="220"/>
      <c r="C822" s="235">
        <v>59</v>
      </c>
      <c r="D822" s="248"/>
      <c r="E822" s="214"/>
      <c r="F822" s="167">
        <f t="shared" si="49"/>
        <v>0</v>
      </c>
    </row>
    <row r="823" spans="1:6" ht="18" hidden="1" customHeight="1">
      <c r="A823" s="206" t="s">
        <v>459</v>
      </c>
      <c r="B823" s="208"/>
      <c r="C823" s="224" t="s">
        <v>108</v>
      </c>
      <c r="D823" s="248"/>
      <c r="E823" s="214"/>
      <c r="F823" s="167">
        <f t="shared" si="49"/>
        <v>0</v>
      </c>
    </row>
    <row r="824" spans="1:6" ht="18" hidden="1" customHeight="1">
      <c r="A824" s="231"/>
      <c r="B824" s="474"/>
      <c r="C824" s="224">
        <v>70</v>
      </c>
      <c r="D824" s="248"/>
      <c r="E824" s="214"/>
      <c r="F824" s="167">
        <f t="shared" si="49"/>
        <v>0</v>
      </c>
    </row>
    <row r="825" spans="1:6" ht="18" hidden="1" customHeight="1">
      <c r="A825" s="238"/>
      <c r="B825" s="474"/>
      <c r="C825" s="224">
        <v>71</v>
      </c>
      <c r="D825" s="248"/>
      <c r="E825" s="214"/>
      <c r="F825" s="167">
        <f t="shared" si="49"/>
        <v>0</v>
      </c>
    </row>
    <row r="826" spans="1:6" ht="18" hidden="1" customHeight="1">
      <c r="A826" s="219" t="s">
        <v>127</v>
      </c>
      <c r="B826" s="474"/>
      <c r="C826" s="224" t="s">
        <v>80</v>
      </c>
      <c r="D826" s="248"/>
      <c r="E826" s="214"/>
      <c r="F826" s="167">
        <f t="shared" si="49"/>
        <v>0</v>
      </c>
    </row>
    <row r="827" spans="1:6" ht="18" hidden="1" customHeight="1">
      <c r="A827" s="219"/>
      <c r="B827" s="218" t="s">
        <v>81</v>
      </c>
      <c r="C827" s="241" t="s">
        <v>82</v>
      </c>
      <c r="D827" s="248"/>
      <c r="E827" s="214"/>
      <c r="F827" s="167">
        <f t="shared" si="49"/>
        <v>0</v>
      </c>
    </row>
    <row r="828" spans="1:6" ht="18" hidden="1" customHeight="1">
      <c r="A828" s="219"/>
      <c r="B828" s="220" t="s">
        <v>83</v>
      </c>
      <c r="C828" s="241" t="s">
        <v>84</v>
      </c>
      <c r="D828" s="248"/>
      <c r="E828" s="214"/>
      <c r="F828" s="167">
        <f t="shared" si="49"/>
        <v>0</v>
      </c>
    </row>
    <row r="829" spans="1:6" ht="18" hidden="1" customHeight="1">
      <c r="A829" s="219"/>
      <c r="B829" s="220" t="s">
        <v>94</v>
      </c>
      <c r="C829" s="241" t="s">
        <v>86</v>
      </c>
      <c r="D829" s="248"/>
      <c r="E829" s="214"/>
      <c r="F829" s="167">
        <f t="shared" si="49"/>
        <v>0</v>
      </c>
    </row>
    <row r="830" spans="1:6" ht="18" hidden="1" customHeight="1">
      <c r="A830" s="219"/>
      <c r="B830" s="220" t="s">
        <v>87</v>
      </c>
      <c r="C830" s="241" t="s">
        <v>88</v>
      </c>
      <c r="D830" s="248"/>
      <c r="E830" s="214"/>
      <c r="F830" s="167">
        <f t="shared" si="49"/>
        <v>0</v>
      </c>
    </row>
    <row r="831" spans="1:6" ht="18" hidden="1" customHeight="1">
      <c r="A831" s="526" t="s">
        <v>268</v>
      </c>
      <c r="B831" s="529"/>
      <c r="C831" s="241" t="s">
        <v>269</v>
      </c>
      <c r="D831" s="248"/>
      <c r="E831" s="214"/>
      <c r="F831" s="167">
        <f t="shared" si="49"/>
        <v>0</v>
      </c>
    </row>
    <row r="832" spans="1:6" ht="18" hidden="1" customHeight="1">
      <c r="A832" s="215"/>
      <c r="B832" s="220"/>
      <c r="C832" s="224">
        <v>79</v>
      </c>
      <c r="D832" s="248"/>
      <c r="E832" s="214"/>
      <c r="F832" s="167">
        <f t="shared" si="49"/>
        <v>0</v>
      </c>
    </row>
    <row r="833" spans="1:6" ht="18" hidden="1" customHeight="1">
      <c r="A833" s="229"/>
      <c r="B833" s="220"/>
      <c r="C833" s="224">
        <v>80</v>
      </c>
      <c r="D833" s="248"/>
      <c r="E833" s="214"/>
      <c r="F833" s="167">
        <f t="shared" si="49"/>
        <v>0</v>
      </c>
    </row>
    <row r="834" spans="1:6" ht="18" hidden="1" customHeight="1">
      <c r="A834" s="534" t="s">
        <v>460</v>
      </c>
      <c r="B834" s="529"/>
      <c r="C834" s="224" t="s">
        <v>275</v>
      </c>
      <c r="D834" s="248"/>
      <c r="E834" s="214"/>
      <c r="F834" s="167">
        <f t="shared" si="49"/>
        <v>0</v>
      </c>
    </row>
    <row r="835" spans="1:6" ht="18" hidden="1" customHeight="1">
      <c r="A835" s="206" t="s">
        <v>461</v>
      </c>
      <c r="B835" s="205"/>
      <c r="C835" s="224" t="s">
        <v>277</v>
      </c>
      <c r="D835" s="248"/>
      <c r="E835" s="214"/>
      <c r="F835" s="167">
        <f t="shared" si="49"/>
        <v>0</v>
      </c>
    </row>
    <row r="836" spans="1:6" ht="18" hidden="1" customHeight="1">
      <c r="A836" s="219"/>
      <c r="B836" s="220"/>
      <c r="C836" s="224">
        <v>81</v>
      </c>
      <c r="D836" s="248"/>
      <c r="E836" s="214"/>
      <c r="F836" s="167">
        <f t="shared" si="49"/>
        <v>0</v>
      </c>
    </row>
    <row r="837" spans="1:6" ht="18" hidden="1" customHeight="1">
      <c r="A837" s="206" t="s">
        <v>629</v>
      </c>
      <c r="B837" s="220"/>
      <c r="C837" s="224" t="s">
        <v>602</v>
      </c>
      <c r="D837" s="248"/>
      <c r="E837" s="214"/>
      <c r="F837" s="167">
        <f t="shared" si="49"/>
        <v>0</v>
      </c>
    </row>
    <row r="838" spans="1:6" ht="18.75" hidden="1" customHeight="1">
      <c r="A838" s="242"/>
      <c r="B838" s="243"/>
      <c r="C838" s="224"/>
      <c r="D838" s="248"/>
      <c r="E838" s="214"/>
      <c r="F838" s="167">
        <f t="shared" si="49"/>
        <v>0</v>
      </c>
    </row>
    <row r="839" spans="1:6" ht="18" hidden="1" customHeight="1">
      <c r="A839" s="535" t="s">
        <v>462</v>
      </c>
      <c r="B839" s="529"/>
      <c r="C839" s="224" t="s">
        <v>463</v>
      </c>
      <c r="D839" s="248"/>
      <c r="E839" s="214"/>
      <c r="F839" s="167">
        <f t="shared" si="49"/>
        <v>0</v>
      </c>
    </row>
    <row r="840" spans="1:6" ht="18" hidden="1" customHeight="1">
      <c r="A840" s="244" t="s">
        <v>464</v>
      </c>
      <c r="B840" s="220"/>
      <c r="C840" s="224" t="s">
        <v>465</v>
      </c>
      <c r="D840" s="248"/>
      <c r="E840" s="214"/>
      <c r="F840" s="167">
        <f t="shared" si="49"/>
        <v>0</v>
      </c>
    </row>
    <row r="841" spans="1:6" ht="18" hidden="1" customHeight="1">
      <c r="A841" s="244" t="s">
        <v>466</v>
      </c>
      <c r="B841" s="220"/>
      <c r="C841" s="224" t="s">
        <v>467</v>
      </c>
      <c r="D841" s="248"/>
      <c r="E841" s="214"/>
      <c r="F841" s="167">
        <f t="shared" si="49"/>
        <v>0</v>
      </c>
    </row>
    <row r="842" spans="1:6" ht="18" hidden="1" customHeight="1">
      <c r="A842" s="244" t="s">
        <v>468</v>
      </c>
      <c r="B842" s="220"/>
      <c r="C842" s="224" t="s">
        <v>469</v>
      </c>
      <c r="D842" s="248"/>
      <c r="E842" s="214"/>
      <c r="F842" s="167">
        <f t="shared" si="49"/>
        <v>0</v>
      </c>
    </row>
    <row r="843" spans="1:6" ht="18" hidden="1" customHeight="1">
      <c r="A843" s="236" t="s">
        <v>470</v>
      </c>
      <c r="B843" s="220"/>
      <c r="C843" s="224" t="s">
        <v>471</v>
      </c>
      <c r="D843" s="248"/>
      <c r="E843" s="214"/>
      <c r="F843" s="167">
        <f t="shared" si="49"/>
        <v>0</v>
      </c>
    </row>
    <row r="844" spans="1:6" ht="18" hidden="1" customHeight="1">
      <c r="A844" s="271"/>
      <c r="B844" s="474"/>
      <c r="C844" s="224"/>
      <c r="D844" s="248"/>
      <c r="E844" s="214"/>
      <c r="F844" s="167">
        <f t="shared" si="49"/>
        <v>0</v>
      </c>
    </row>
    <row r="845" spans="1:6" ht="18" hidden="1" customHeight="1">
      <c r="A845" s="285"/>
      <c r="B845" s="397"/>
      <c r="C845" s="224" t="s">
        <v>472</v>
      </c>
      <c r="D845" s="248"/>
      <c r="E845" s="214"/>
      <c r="F845" s="167">
        <f t="shared" si="49"/>
        <v>0</v>
      </c>
    </row>
    <row r="846" spans="1:6" ht="18" hidden="1" customHeight="1">
      <c r="A846" s="231"/>
      <c r="B846" s="474"/>
      <c r="C846" s="224" t="s">
        <v>473</v>
      </c>
      <c r="D846" s="248"/>
      <c r="E846" s="214"/>
      <c r="F846" s="167">
        <f t="shared" si="49"/>
        <v>0</v>
      </c>
    </row>
    <row r="847" spans="1:6" ht="18" hidden="1" customHeight="1">
      <c r="A847" s="283"/>
      <c r="B847" s="284" t="s">
        <v>456</v>
      </c>
      <c r="C847" s="202" t="s">
        <v>303</v>
      </c>
      <c r="D847" s="248">
        <f>D864</f>
        <v>0</v>
      </c>
      <c r="E847" s="214">
        <f>E864</f>
        <v>0</v>
      </c>
      <c r="F847" s="167">
        <f t="shared" si="49"/>
        <v>0</v>
      </c>
    </row>
    <row r="848" spans="1:6" ht="18" hidden="1" customHeight="1">
      <c r="A848" s="247" t="s">
        <v>114</v>
      </c>
      <c r="B848" s="474"/>
      <c r="C848" s="235" t="s">
        <v>49</v>
      </c>
      <c r="D848" s="248">
        <f>D849+D850+D851+D853+D856</f>
        <v>0</v>
      </c>
      <c r="E848" s="214">
        <f>E849+E850+E851+E853+E856</f>
        <v>0</v>
      </c>
      <c r="F848" s="167">
        <f t="shared" si="49"/>
        <v>0</v>
      </c>
    </row>
    <row r="849" spans="1:6" ht="18" hidden="1" customHeight="1">
      <c r="A849" s="204" t="s">
        <v>561</v>
      </c>
      <c r="B849" s="474"/>
      <c r="C849" s="235">
        <v>10</v>
      </c>
      <c r="D849" s="248"/>
      <c r="E849" s="214"/>
      <c r="F849" s="167">
        <f t="shared" ref="F849:F867" si="50">D849+E849</f>
        <v>0</v>
      </c>
    </row>
    <row r="850" spans="1:6" ht="18" hidden="1" customHeight="1">
      <c r="A850" s="206" t="s">
        <v>562</v>
      </c>
      <c r="B850" s="474"/>
      <c r="C850" s="224">
        <v>20</v>
      </c>
      <c r="D850" s="248">
        <f>D1661</f>
        <v>0</v>
      </c>
      <c r="E850" s="214">
        <f>E1661</f>
        <v>0</v>
      </c>
      <c r="F850" s="167">
        <f t="shared" si="50"/>
        <v>0</v>
      </c>
    </row>
    <row r="851" spans="1:6" ht="18" hidden="1" customHeight="1">
      <c r="A851" s="219" t="s">
        <v>611</v>
      </c>
      <c r="B851" s="474"/>
      <c r="C851" s="235" t="s">
        <v>52</v>
      </c>
      <c r="D851" s="248"/>
      <c r="E851" s="214"/>
      <c r="F851" s="167">
        <f t="shared" si="50"/>
        <v>0</v>
      </c>
    </row>
    <row r="852" spans="1:6" ht="18" hidden="1" customHeight="1">
      <c r="A852" s="219" t="s">
        <v>53</v>
      </c>
      <c r="B852" s="474"/>
      <c r="C852" s="235" t="s">
        <v>626</v>
      </c>
      <c r="D852" s="248"/>
      <c r="E852" s="214"/>
      <c r="F852" s="167">
        <f t="shared" si="50"/>
        <v>0</v>
      </c>
    </row>
    <row r="853" spans="1:6" ht="18" hidden="1" customHeight="1">
      <c r="A853" s="282"/>
      <c r="B853" s="474"/>
      <c r="C853" s="235" t="s">
        <v>592</v>
      </c>
      <c r="D853" s="248"/>
      <c r="E853" s="214"/>
      <c r="F853" s="167">
        <f t="shared" si="50"/>
        <v>0</v>
      </c>
    </row>
    <row r="854" spans="1:6" ht="18" hidden="1" customHeight="1">
      <c r="A854" s="219" t="s">
        <v>105</v>
      </c>
      <c r="B854" s="474"/>
      <c r="C854" s="235" t="s">
        <v>56</v>
      </c>
      <c r="D854" s="248"/>
      <c r="E854" s="214"/>
      <c r="F854" s="167">
        <f t="shared" si="50"/>
        <v>0</v>
      </c>
    </row>
    <row r="855" spans="1:6" ht="18" hidden="1" customHeight="1">
      <c r="A855" s="215"/>
      <c r="B855" s="222" t="s">
        <v>100</v>
      </c>
      <c r="C855" s="224" t="s">
        <v>58</v>
      </c>
      <c r="D855" s="248"/>
      <c r="E855" s="214"/>
      <c r="F855" s="167">
        <f t="shared" si="50"/>
        <v>0</v>
      </c>
    </row>
    <row r="856" spans="1:6" ht="18" hidden="1" customHeight="1">
      <c r="A856" s="219" t="s">
        <v>304</v>
      </c>
      <c r="B856" s="474"/>
      <c r="C856" s="235">
        <v>55</v>
      </c>
      <c r="D856" s="248"/>
      <c r="E856" s="214"/>
      <c r="F856" s="167">
        <f t="shared" si="50"/>
        <v>0</v>
      </c>
    </row>
    <row r="857" spans="1:6" ht="18" hidden="1" customHeight="1">
      <c r="A857" s="219" t="s">
        <v>66</v>
      </c>
      <c r="B857" s="474"/>
      <c r="C857" s="224" t="s">
        <v>67</v>
      </c>
      <c r="D857" s="248"/>
      <c r="E857" s="214"/>
      <c r="F857" s="167">
        <f t="shared" si="50"/>
        <v>0</v>
      </c>
    </row>
    <row r="858" spans="1:6" ht="18" hidden="1" customHeight="1">
      <c r="A858" s="219"/>
      <c r="B858" s="220" t="s">
        <v>305</v>
      </c>
      <c r="C858" s="224" t="s">
        <v>625</v>
      </c>
      <c r="D858" s="248"/>
      <c r="E858" s="214"/>
      <c r="F858" s="167">
        <f t="shared" si="50"/>
        <v>0</v>
      </c>
    </row>
    <row r="859" spans="1:6" ht="18" hidden="1" customHeight="1">
      <c r="A859" s="215"/>
      <c r="B859" s="222" t="s">
        <v>306</v>
      </c>
      <c r="C859" s="224" t="s">
        <v>307</v>
      </c>
      <c r="D859" s="248"/>
      <c r="E859" s="214"/>
      <c r="F859" s="167">
        <f t="shared" si="50"/>
        <v>0</v>
      </c>
    </row>
    <row r="860" spans="1:6" ht="18" hidden="1" customHeight="1">
      <c r="A860" s="286"/>
      <c r="B860" s="222"/>
      <c r="C860" s="224"/>
      <c r="D860" s="248"/>
      <c r="E860" s="214"/>
      <c r="F860" s="167">
        <f t="shared" si="50"/>
        <v>0</v>
      </c>
    </row>
    <row r="861" spans="1:6" ht="18" hidden="1" customHeight="1">
      <c r="A861" s="286"/>
      <c r="B861" s="222"/>
      <c r="C861" s="224"/>
      <c r="D861" s="248"/>
      <c r="E861" s="214"/>
      <c r="F861" s="167">
        <f t="shared" si="50"/>
        <v>0</v>
      </c>
    </row>
    <row r="862" spans="1:6" ht="18" hidden="1" customHeight="1">
      <c r="A862" s="287" t="s">
        <v>613</v>
      </c>
      <c r="B862" s="474"/>
      <c r="C862" s="224">
        <v>59</v>
      </c>
      <c r="D862" s="248"/>
      <c r="E862" s="214"/>
      <c r="F862" s="167">
        <f t="shared" si="50"/>
        <v>0</v>
      </c>
    </row>
    <row r="863" spans="1:6" ht="18" hidden="1" customHeight="1">
      <c r="A863" s="261"/>
      <c r="B863" s="474" t="s">
        <v>310</v>
      </c>
      <c r="C863" s="224">
        <v>5902</v>
      </c>
      <c r="D863" s="248"/>
      <c r="E863" s="214"/>
      <c r="F863" s="167">
        <f t="shared" si="50"/>
        <v>0</v>
      </c>
    </row>
    <row r="864" spans="1:6" ht="18" hidden="1" customHeight="1">
      <c r="A864" s="261"/>
      <c r="B864" s="474" t="s">
        <v>456</v>
      </c>
      <c r="C864" s="224" t="s">
        <v>471</v>
      </c>
      <c r="D864" s="248">
        <f>D1675+D2501</f>
        <v>0</v>
      </c>
      <c r="E864" s="214">
        <f>E1675+E2501</f>
        <v>0</v>
      </c>
      <c r="F864" s="167">
        <f t="shared" si="50"/>
        <v>0</v>
      </c>
    </row>
    <row r="865" spans="1:6" ht="21" thickBot="1">
      <c r="A865" s="144" t="s">
        <v>904</v>
      </c>
      <c r="B865" s="379"/>
      <c r="C865" s="380" t="s">
        <v>474</v>
      </c>
      <c r="D865" s="381">
        <f>D11-D169</f>
        <v>-2311</v>
      </c>
      <c r="E865" s="419">
        <f>E11-E169</f>
        <v>0</v>
      </c>
      <c r="F865" s="288">
        <f t="shared" si="50"/>
        <v>-2311</v>
      </c>
    </row>
    <row r="866" spans="1:6" ht="21" hidden="1" thickBot="1">
      <c r="A866" s="144"/>
      <c r="B866" s="145"/>
      <c r="C866" s="146"/>
      <c r="D866" s="429"/>
      <c r="E866" s="148"/>
      <c r="F866" s="167">
        <f t="shared" si="50"/>
        <v>0</v>
      </c>
    </row>
    <row r="867" spans="1:6" ht="21" hidden="1" thickBot="1">
      <c r="A867" s="144"/>
      <c r="B867" s="145"/>
      <c r="C867" s="146"/>
      <c r="D867" s="429"/>
      <c r="E867" s="148"/>
      <c r="F867" s="167">
        <f t="shared" si="50"/>
        <v>0</v>
      </c>
    </row>
    <row r="868" spans="1:6" ht="21" thickBot="1">
      <c r="A868" s="382"/>
      <c r="B868" s="289" t="s">
        <v>905</v>
      </c>
      <c r="C868" s="147"/>
      <c r="D868" s="489"/>
      <c r="E868" s="420"/>
      <c r="F868" s="383"/>
    </row>
    <row r="869" spans="1:6" ht="23.25">
      <c r="A869" s="198" t="s">
        <v>639</v>
      </c>
      <c r="B869" s="290"/>
      <c r="C869" s="199" t="s">
        <v>476</v>
      </c>
      <c r="D869" s="485">
        <f>D871+D960+D967+D975+D1006</f>
        <v>447818.86</v>
      </c>
      <c r="E869" s="335">
        <f>E871+E960+E967+E975+E1006</f>
        <v>0</v>
      </c>
      <c r="F869" s="167">
        <f t="shared" ref="F869:F878" si="51">D869+E869</f>
        <v>447818.86</v>
      </c>
    </row>
    <row r="870" spans="1:6" ht="20.25">
      <c r="A870" s="200" t="s">
        <v>640</v>
      </c>
      <c r="B870" s="201"/>
      <c r="C870" s="202" t="s">
        <v>477</v>
      </c>
      <c r="D870" s="350">
        <f>D871-D899-D955+D960+D967</f>
        <v>415850.06</v>
      </c>
      <c r="E870" s="409">
        <f>E871-E899-E955+E960+E967</f>
        <v>0</v>
      </c>
      <c r="F870" s="167">
        <f t="shared" si="51"/>
        <v>415850.06</v>
      </c>
    </row>
    <row r="871" spans="1:6" ht="20.25">
      <c r="A871" s="200" t="s">
        <v>641</v>
      </c>
      <c r="B871" s="245"/>
      <c r="C871" s="203" t="s">
        <v>478</v>
      </c>
      <c r="D871" s="350">
        <f>D872+D921</f>
        <v>433661.86</v>
      </c>
      <c r="E871" s="409">
        <f>E872+E921</f>
        <v>0</v>
      </c>
      <c r="F871" s="167">
        <f t="shared" si="51"/>
        <v>433661.86</v>
      </c>
    </row>
    <row r="872" spans="1:6" ht="20.25">
      <c r="A872" s="204" t="s">
        <v>642</v>
      </c>
      <c r="B872" s="220"/>
      <c r="C872" s="291" t="s">
        <v>479</v>
      </c>
      <c r="D872" s="350">
        <f>D873+D887+D898+D918</f>
        <v>455569.06</v>
      </c>
      <c r="E872" s="409">
        <f>E873+E887+E898+E918</f>
        <v>0</v>
      </c>
      <c r="F872" s="167">
        <f t="shared" si="51"/>
        <v>455569.06</v>
      </c>
    </row>
    <row r="873" spans="1:6" ht="20.25">
      <c r="A873" s="204" t="s">
        <v>643</v>
      </c>
      <c r="B873" s="220"/>
      <c r="C873" s="203" t="s">
        <v>480</v>
      </c>
      <c r="D873" s="350">
        <f>D874+D877+D884</f>
        <v>218458.06</v>
      </c>
      <c r="E873" s="409">
        <f>E874+E877+E884</f>
        <v>0</v>
      </c>
      <c r="F873" s="167">
        <f t="shared" si="51"/>
        <v>218458.06</v>
      </c>
    </row>
    <row r="874" spans="1:6" ht="18" customHeight="1">
      <c r="A874" s="554" t="s">
        <v>644</v>
      </c>
      <c r="B874" s="529"/>
      <c r="C874" s="292" t="s">
        <v>481</v>
      </c>
      <c r="D874" s="367">
        <f>D875</f>
        <v>5298</v>
      </c>
      <c r="E874" s="414">
        <f>E875</f>
        <v>0</v>
      </c>
      <c r="F874" s="167">
        <f t="shared" si="51"/>
        <v>5298</v>
      </c>
    </row>
    <row r="875" spans="1:6" ht="18" customHeight="1">
      <c r="A875" s="206" t="s">
        <v>645</v>
      </c>
      <c r="B875" s="220"/>
      <c r="C875" s="254" t="s">
        <v>482</v>
      </c>
      <c r="D875" s="367">
        <f>D876</f>
        <v>5298</v>
      </c>
      <c r="E875" s="414">
        <f>E876</f>
        <v>0</v>
      </c>
      <c r="F875" s="167">
        <f t="shared" si="51"/>
        <v>5298</v>
      </c>
    </row>
    <row r="876" spans="1:6" ht="20.25">
      <c r="A876" s="221" t="s">
        <v>483</v>
      </c>
      <c r="B876" s="222"/>
      <c r="C876" s="254" t="s">
        <v>484</v>
      </c>
      <c r="D876" s="248">
        <f>4923+375</f>
        <v>5298</v>
      </c>
      <c r="E876" s="214"/>
      <c r="F876" s="167">
        <f t="shared" si="51"/>
        <v>5298</v>
      </c>
    </row>
    <row r="877" spans="1:6" ht="18.75" customHeight="1">
      <c r="A877" s="554" t="s">
        <v>649</v>
      </c>
      <c r="B877" s="529"/>
      <c r="C877" s="336" t="s">
        <v>485</v>
      </c>
      <c r="D877" s="350">
        <f>D878+D880</f>
        <v>213160.06</v>
      </c>
      <c r="E877" s="409">
        <f>E878+E880</f>
        <v>0</v>
      </c>
      <c r="F877" s="167">
        <f t="shared" si="51"/>
        <v>213160.06</v>
      </c>
    </row>
    <row r="878" spans="1:6" ht="20.25">
      <c r="A878" s="221" t="s">
        <v>646</v>
      </c>
      <c r="B878" s="222"/>
      <c r="C878" s="337" t="s">
        <v>647</v>
      </c>
      <c r="D878" s="350">
        <f>D879</f>
        <v>1282</v>
      </c>
      <c r="E878" s="409">
        <f>E879</f>
        <v>0</v>
      </c>
      <c r="F878" s="167">
        <f t="shared" si="51"/>
        <v>1282</v>
      </c>
    </row>
    <row r="879" spans="1:6" ht="20.25">
      <c r="A879" s="293" t="s">
        <v>293</v>
      </c>
      <c r="B879" s="473"/>
      <c r="C879" s="294" t="s">
        <v>648</v>
      </c>
      <c r="D879" s="248">
        <v>1282</v>
      </c>
      <c r="E879" s="214"/>
      <c r="F879" s="167">
        <f t="shared" ref="F879:F911" si="52">D879+E879</f>
        <v>1282</v>
      </c>
    </row>
    <row r="880" spans="1:6" ht="20.25">
      <c r="A880" s="204" t="s">
        <v>650</v>
      </c>
      <c r="B880" s="220"/>
      <c r="C880" s="207" t="s">
        <v>486</v>
      </c>
      <c r="D880" s="350">
        <f>D881+D882+D883</f>
        <v>211878.06</v>
      </c>
      <c r="E880" s="409">
        <f>E881+E882+E883</f>
        <v>0</v>
      </c>
      <c r="F880" s="167">
        <f t="shared" si="52"/>
        <v>211878.06</v>
      </c>
    </row>
    <row r="881" spans="1:6" ht="20.25">
      <c r="A881" s="236" t="s">
        <v>487</v>
      </c>
      <c r="B881" s="222"/>
      <c r="C881" s="254" t="s">
        <v>823</v>
      </c>
      <c r="D881" s="248">
        <v>206317</v>
      </c>
      <c r="E881" s="214"/>
      <c r="F881" s="167">
        <f t="shared" si="52"/>
        <v>206317</v>
      </c>
    </row>
    <row r="882" spans="1:6" ht="20.25" hidden="1">
      <c r="A882" s="236" t="s">
        <v>824</v>
      </c>
      <c r="B882" s="222"/>
      <c r="C882" s="254" t="s">
        <v>825</v>
      </c>
      <c r="D882" s="248"/>
      <c r="E882" s="214"/>
      <c r="F882" s="167">
        <f t="shared" si="52"/>
        <v>0</v>
      </c>
    </row>
    <row r="883" spans="1:6" ht="20.25">
      <c r="A883" s="236" t="s">
        <v>987</v>
      </c>
      <c r="B883" s="222"/>
      <c r="C883" s="294" t="s">
        <v>986</v>
      </c>
      <c r="D883" s="248">
        <v>5561.06</v>
      </c>
      <c r="E883" s="214"/>
      <c r="F883" s="167">
        <f t="shared" si="52"/>
        <v>5561.06</v>
      </c>
    </row>
    <row r="884" spans="1:6" ht="20.25" hidden="1">
      <c r="A884" s="221"/>
      <c r="B884" s="220"/>
      <c r="C884" s="295" t="s">
        <v>488</v>
      </c>
      <c r="D884" s="248"/>
      <c r="E884" s="214"/>
      <c r="F884" s="167">
        <f t="shared" si="52"/>
        <v>0</v>
      </c>
    </row>
    <row r="885" spans="1:6" ht="20.25" hidden="1">
      <c r="A885" s="215" t="s">
        <v>988</v>
      </c>
      <c r="B885" s="220"/>
      <c r="C885" s="254" t="s">
        <v>489</v>
      </c>
      <c r="D885" s="248"/>
      <c r="E885" s="214"/>
      <c r="F885" s="167">
        <f t="shared" si="52"/>
        <v>0</v>
      </c>
    </row>
    <row r="886" spans="1:6" ht="20.25" hidden="1">
      <c r="A886" s="236" t="s">
        <v>490</v>
      </c>
      <c r="B886" s="222"/>
      <c r="C886" s="254" t="s">
        <v>491</v>
      </c>
      <c r="D886" s="248"/>
      <c r="E886" s="214"/>
      <c r="F886" s="167">
        <f t="shared" si="52"/>
        <v>0</v>
      </c>
    </row>
    <row r="887" spans="1:6" ht="20.25">
      <c r="A887" s="204" t="s">
        <v>0</v>
      </c>
      <c r="B887" s="220"/>
      <c r="C887" s="211" t="s">
        <v>492</v>
      </c>
      <c r="D887" s="350">
        <f>D888</f>
        <v>92161</v>
      </c>
      <c r="E887" s="409">
        <f>E888</f>
        <v>0</v>
      </c>
      <c r="F887" s="167">
        <f t="shared" si="52"/>
        <v>92161</v>
      </c>
    </row>
    <row r="888" spans="1:6" ht="20.25">
      <c r="A888" s="204" t="s">
        <v>1</v>
      </c>
      <c r="B888" s="220"/>
      <c r="C888" s="235" t="s">
        <v>493</v>
      </c>
      <c r="D888" s="367">
        <f>D889+D892+D896+D897</f>
        <v>92161</v>
      </c>
      <c r="E888" s="414">
        <f>E889+E892+E896+E897</f>
        <v>0</v>
      </c>
      <c r="F888" s="167">
        <f t="shared" si="52"/>
        <v>92161</v>
      </c>
    </row>
    <row r="889" spans="1:6" ht="20.25">
      <c r="A889" s="236" t="s">
        <v>979</v>
      </c>
      <c r="B889" s="222"/>
      <c r="C889" s="235" t="s">
        <v>827</v>
      </c>
      <c r="D889" s="248">
        <f>39073+11498+17000</f>
        <v>67571</v>
      </c>
      <c r="E889" s="214"/>
      <c r="F889" s="167">
        <f t="shared" si="52"/>
        <v>67571</v>
      </c>
    </row>
    <row r="890" spans="1:6" ht="20.25" hidden="1">
      <c r="A890" s="212"/>
      <c r="B890" s="222" t="s">
        <v>2</v>
      </c>
      <c r="C890" s="235" t="s">
        <v>828</v>
      </c>
      <c r="D890" s="248"/>
      <c r="E890" s="214"/>
      <c r="F890" s="167">
        <f t="shared" si="52"/>
        <v>0</v>
      </c>
    </row>
    <row r="891" spans="1:6" ht="20.25" hidden="1">
      <c r="A891" s="293" t="s">
        <v>188</v>
      </c>
      <c r="B891" s="220"/>
      <c r="C891" s="235" t="s">
        <v>829</v>
      </c>
      <c r="D891" s="248"/>
      <c r="E891" s="214"/>
      <c r="F891" s="167">
        <f t="shared" si="52"/>
        <v>0</v>
      </c>
    </row>
    <row r="892" spans="1:6" ht="20.25">
      <c r="A892" s="236" t="s">
        <v>3</v>
      </c>
      <c r="B892" s="222"/>
      <c r="C892" s="235" t="s">
        <v>830</v>
      </c>
      <c r="D892" s="248">
        <f>12819+3500+5350</f>
        <v>21669</v>
      </c>
      <c r="E892" s="214"/>
      <c r="F892" s="167">
        <f t="shared" si="52"/>
        <v>21669</v>
      </c>
    </row>
    <row r="893" spans="1:6" ht="20.25" hidden="1">
      <c r="A893" s="236"/>
      <c r="B893" s="222" t="s">
        <v>5</v>
      </c>
      <c r="C893" s="235" t="s">
        <v>831</v>
      </c>
      <c r="D893" s="248"/>
      <c r="E893" s="214"/>
      <c r="F893" s="167">
        <f t="shared" si="52"/>
        <v>0</v>
      </c>
    </row>
    <row r="894" spans="1:6" ht="20.25" hidden="1">
      <c r="A894" s="236"/>
      <c r="B894" s="222" t="s">
        <v>189</v>
      </c>
      <c r="C894" s="235" t="s">
        <v>832</v>
      </c>
      <c r="D894" s="248"/>
      <c r="E894" s="214"/>
      <c r="F894" s="167">
        <f t="shared" si="52"/>
        <v>0</v>
      </c>
    </row>
    <row r="895" spans="1:6" ht="20.25" hidden="1">
      <c r="A895" s="236"/>
      <c r="B895" s="222" t="s">
        <v>833</v>
      </c>
      <c r="C895" s="235" t="s">
        <v>834</v>
      </c>
      <c r="D895" s="248"/>
      <c r="E895" s="214"/>
      <c r="F895" s="167">
        <f t="shared" si="52"/>
        <v>0</v>
      </c>
    </row>
    <row r="896" spans="1:6" ht="20.25">
      <c r="A896" s="236" t="s">
        <v>978</v>
      </c>
      <c r="B896" s="222"/>
      <c r="C896" s="235" t="s">
        <v>836</v>
      </c>
      <c r="D896" s="248">
        <v>2863</v>
      </c>
      <c r="E896" s="214"/>
      <c r="F896" s="167">
        <f t="shared" si="52"/>
        <v>2863</v>
      </c>
    </row>
    <row r="897" spans="1:6" ht="20.25">
      <c r="A897" s="221" t="s">
        <v>6</v>
      </c>
      <c r="B897" s="222"/>
      <c r="C897" s="235" t="s">
        <v>494</v>
      </c>
      <c r="D897" s="248">
        <f>28+30</f>
        <v>58</v>
      </c>
      <c r="E897" s="214"/>
      <c r="F897" s="167">
        <f t="shared" si="52"/>
        <v>58</v>
      </c>
    </row>
    <row r="898" spans="1:6" ht="20.25">
      <c r="A898" s="204" t="s">
        <v>7</v>
      </c>
      <c r="B898" s="220"/>
      <c r="C898" s="211" t="s">
        <v>495</v>
      </c>
      <c r="D898" s="350">
        <f>D899+D907+D909+D912</f>
        <v>144353</v>
      </c>
      <c r="E898" s="409">
        <f>E899+E907+E909+E912</f>
        <v>0</v>
      </c>
      <c r="F898" s="167">
        <f t="shared" si="52"/>
        <v>144353</v>
      </c>
    </row>
    <row r="899" spans="1:6" ht="20.25">
      <c r="A899" s="212" t="s">
        <v>8</v>
      </c>
      <c r="B899" s="220"/>
      <c r="C899" s="203" t="s">
        <v>496</v>
      </c>
      <c r="D899" s="350">
        <f>SUM(D900:D906)</f>
        <v>101029</v>
      </c>
      <c r="E899" s="409">
        <f>SUM(E900:E906)</f>
        <v>0</v>
      </c>
      <c r="F899" s="167">
        <f t="shared" si="52"/>
        <v>101029</v>
      </c>
    </row>
    <row r="900" spans="1:6" ht="20.25" hidden="1">
      <c r="A900" s="540" t="s">
        <v>190</v>
      </c>
      <c r="B900" s="529"/>
      <c r="C900" s="235" t="s">
        <v>191</v>
      </c>
      <c r="D900" s="248"/>
      <c r="E900" s="214"/>
      <c r="F900" s="167">
        <f t="shared" si="52"/>
        <v>0</v>
      </c>
    </row>
    <row r="901" spans="1:6" ht="52.5" customHeight="1">
      <c r="A901" s="555" t="s">
        <v>9</v>
      </c>
      <c r="B901" s="529"/>
      <c r="C901" s="235" t="s">
        <v>497</v>
      </c>
      <c r="D901" s="367">
        <f>86761+1886</f>
        <v>88647</v>
      </c>
      <c r="E901" s="414"/>
      <c r="F901" s="167">
        <f t="shared" si="52"/>
        <v>88647</v>
      </c>
    </row>
    <row r="902" spans="1:6" ht="20.25" hidden="1">
      <c r="A902" s="540" t="s">
        <v>10</v>
      </c>
      <c r="B902" s="529"/>
      <c r="C902" s="224" t="s">
        <v>498</v>
      </c>
      <c r="D902" s="248"/>
      <c r="E902" s="214"/>
      <c r="F902" s="167">
        <f t="shared" si="52"/>
        <v>0</v>
      </c>
    </row>
    <row r="903" spans="1:6" ht="20.25" hidden="1">
      <c r="A903" s="540" t="s">
        <v>192</v>
      </c>
      <c r="B903" s="529"/>
      <c r="C903" s="235" t="s">
        <v>193</v>
      </c>
      <c r="D903" s="248"/>
      <c r="E903" s="214"/>
      <c r="F903" s="167">
        <f t="shared" si="52"/>
        <v>0</v>
      </c>
    </row>
    <row r="904" spans="1:6" ht="20.25" hidden="1">
      <c r="A904" s="215" t="s">
        <v>194</v>
      </c>
      <c r="B904" s="222"/>
      <c r="C904" s="235" t="s">
        <v>195</v>
      </c>
      <c r="D904" s="248"/>
      <c r="E904" s="214"/>
      <c r="F904" s="167">
        <f t="shared" si="52"/>
        <v>0</v>
      </c>
    </row>
    <row r="905" spans="1:6" ht="36.75" customHeight="1">
      <c r="A905" s="551" t="s">
        <v>11</v>
      </c>
      <c r="B905" s="529"/>
      <c r="C905" s="235" t="s">
        <v>499</v>
      </c>
      <c r="D905" s="248">
        <v>725</v>
      </c>
      <c r="E905" s="214"/>
      <c r="F905" s="167">
        <f t="shared" si="52"/>
        <v>725</v>
      </c>
    </row>
    <row r="906" spans="1:6" ht="39.75" customHeight="1">
      <c r="A906" s="540" t="s">
        <v>837</v>
      </c>
      <c r="B906" s="529"/>
      <c r="C906" s="235" t="s">
        <v>651</v>
      </c>
      <c r="D906" s="248">
        <v>11657</v>
      </c>
      <c r="E906" s="214"/>
      <c r="F906" s="167">
        <f t="shared" si="52"/>
        <v>11657</v>
      </c>
    </row>
    <row r="907" spans="1:6" ht="20.25" hidden="1">
      <c r="A907" s="206" t="s">
        <v>12</v>
      </c>
      <c r="B907" s="296"/>
      <c r="C907" s="207" t="s">
        <v>500</v>
      </c>
      <c r="D907" s="350">
        <f>D908</f>
        <v>0</v>
      </c>
      <c r="E907" s="409">
        <f>E908</f>
        <v>0</v>
      </c>
      <c r="F907" s="167">
        <f t="shared" si="52"/>
        <v>0</v>
      </c>
    </row>
    <row r="908" spans="1:6" ht="20.25" hidden="1">
      <c r="A908" s="221" t="s">
        <v>501</v>
      </c>
      <c r="B908" s="222"/>
      <c r="C908" s="297" t="s">
        <v>502</v>
      </c>
      <c r="D908" s="248">
        <v>0</v>
      </c>
      <c r="E908" s="214">
        <v>0</v>
      </c>
      <c r="F908" s="167">
        <f t="shared" si="52"/>
        <v>0</v>
      </c>
    </row>
    <row r="909" spans="1:6" ht="20.25">
      <c r="A909" s="212" t="s">
        <v>13</v>
      </c>
      <c r="B909" s="220"/>
      <c r="C909" s="207" t="s">
        <v>503</v>
      </c>
      <c r="D909" s="350">
        <f>D910+D911</f>
        <v>251</v>
      </c>
      <c r="E909" s="409">
        <f>E910+E911</f>
        <v>0</v>
      </c>
      <c r="F909" s="167">
        <f t="shared" si="52"/>
        <v>251</v>
      </c>
    </row>
    <row r="910" spans="1:6" ht="20.25">
      <c r="A910" s="236" t="s">
        <v>14</v>
      </c>
      <c r="B910" s="222"/>
      <c r="C910" s="254" t="s">
        <v>504</v>
      </c>
      <c r="D910" s="248">
        <f>159+50</f>
        <v>209</v>
      </c>
      <c r="E910" s="214"/>
      <c r="F910" s="167">
        <f t="shared" si="52"/>
        <v>209</v>
      </c>
    </row>
    <row r="911" spans="1:6" ht="20.25">
      <c r="A911" s="298" t="s">
        <v>838</v>
      </c>
      <c r="B911" s="222"/>
      <c r="C911" s="254" t="s">
        <v>15</v>
      </c>
      <c r="D911" s="248">
        <v>42</v>
      </c>
      <c r="E911" s="214"/>
      <c r="F911" s="167">
        <f t="shared" si="52"/>
        <v>42</v>
      </c>
    </row>
    <row r="912" spans="1:6" ht="20.25">
      <c r="A912" s="524" t="s">
        <v>16</v>
      </c>
      <c r="B912" s="529"/>
      <c r="C912" s="207" t="s">
        <v>505</v>
      </c>
      <c r="D912" s="350">
        <f>D913+D916+D917</f>
        <v>43073</v>
      </c>
      <c r="E912" s="409">
        <f>E913+E916+E917</f>
        <v>0</v>
      </c>
      <c r="F912" s="167">
        <f t="shared" ref="F912:F943" si="53">D912+E912</f>
        <v>43073</v>
      </c>
    </row>
    <row r="913" spans="1:6" ht="20.25">
      <c r="A913" s="236" t="s">
        <v>980</v>
      </c>
      <c r="B913" s="222"/>
      <c r="C913" s="254" t="s">
        <v>840</v>
      </c>
      <c r="D913" s="248">
        <f>18932+5500+10000</f>
        <v>34432</v>
      </c>
      <c r="E913" s="214"/>
      <c r="F913" s="167">
        <f t="shared" si="53"/>
        <v>34432</v>
      </c>
    </row>
    <row r="914" spans="1:6" ht="20.25" hidden="1">
      <c r="A914" s="236"/>
      <c r="B914" s="222" t="s">
        <v>841</v>
      </c>
      <c r="C914" s="299" t="s">
        <v>842</v>
      </c>
      <c r="D914" s="248"/>
      <c r="E914" s="214"/>
      <c r="F914" s="167">
        <f t="shared" si="53"/>
        <v>0</v>
      </c>
    </row>
    <row r="915" spans="1:6" ht="20.25" hidden="1">
      <c r="A915" s="236"/>
      <c r="B915" s="222" t="s">
        <v>843</v>
      </c>
      <c r="C915" s="254" t="s">
        <v>844</v>
      </c>
      <c r="D915" s="248"/>
      <c r="E915" s="214"/>
      <c r="F915" s="167">
        <f t="shared" si="53"/>
        <v>0</v>
      </c>
    </row>
    <row r="916" spans="1:6" ht="20.25">
      <c r="A916" s="236" t="s">
        <v>506</v>
      </c>
      <c r="B916" s="222"/>
      <c r="C916" s="254" t="s">
        <v>845</v>
      </c>
      <c r="D916" s="248">
        <f>2008+2000</f>
        <v>4008</v>
      </c>
      <c r="E916" s="214"/>
      <c r="F916" s="167">
        <f t="shared" si="53"/>
        <v>4008</v>
      </c>
    </row>
    <row r="917" spans="1:6" ht="38.25" customHeight="1">
      <c r="A917" s="530" t="s">
        <v>17</v>
      </c>
      <c r="B917" s="553"/>
      <c r="C917" s="254" t="s">
        <v>846</v>
      </c>
      <c r="D917" s="248">
        <v>4633</v>
      </c>
      <c r="E917" s="214"/>
      <c r="F917" s="167">
        <f t="shared" si="53"/>
        <v>4633</v>
      </c>
    </row>
    <row r="918" spans="1:6" ht="20.25">
      <c r="A918" s="212" t="s">
        <v>18</v>
      </c>
      <c r="B918" s="220"/>
      <c r="C918" s="211" t="s">
        <v>507</v>
      </c>
      <c r="D918" s="350">
        <f>D919</f>
        <v>597</v>
      </c>
      <c r="E918" s="409">
        <f>E919</f>
        <v>0</v>
      </c>
      <c r="F918" s="167">
        <f t="shared" si="53"/>
        <v>597</v>
      </c>
    </row>
    <row r="919" spans="1:6" ht="20.25">
      <c r="A919" s="212" t="s">
        <v>19</v>
      </c>
      <c r="B919" s="220"/>
      <c r="C919" s="254" t="s">
        <v>508</v>
      </c>
      <c r="D919" s="367">
        <f>D920</f>
        <v>597</v>
      </c>
      <c r="E919" s="414">
        <f>E920</f>
        <v>0</v>
      </c>
      <c r="F919" s="167">
        <f t="shared" si="53"/>
        <v>597</v>
      </c>
    </row>
    <row r="920" spans="1:6" ht="20.25">
      <c r="A920" s="298" t="s">
        <v>509</v>
      </c>
      <c r="B920" s="222"/>
      <c r="C920" s="254" t="s">
        <v>510</v>
      </c>
      <c r="D920" s="248">
        <v>597</v>
      </c>
      <c r="E920" s="214"/>
      <c r="F920" s="167">
        <f t="shared" si="53"/>
        <v>597</v>
      </c>
    </row>
    <row r="921" spans="1:6" ht="20.25">
      <c r="A921" s="204" t="s">
        <v>20</v>
      </c>
      <c r="B921" s="220"/>
      <c r="C921" s="211" t="s">
        <v>511</v>
      </c>
      <c r="D921" s="350">
        <f>D922+D931</f>
        <v>-21907.199999999997</v>
      </c>
      <c r="E921" s="409">
        <f>E922+E931</f>
        <v>0</v>
      </c>
      <c r="F921" s="167">
        <f t="shared" si="53"/>
        <v>-21907.199999999997</v>
      </c>
    </row>
    <row r="922" spans="1:6" ht="20.25">
      <c r="A922" s="206" t="s">
        <v>21</v>
      </c>
      <c r="B922" s="220"/>
      <c r="C922" s="211" t="s">
        <v>512</v>
      </c>
      <c r="D922" s="350">
        <f>D923</f>
        <v>16771</v>
      </c>
      <c r="E922" s="409">
        <f>E923</f>
        <v>0</v>
      </c>
      <c r="F922" s="167">
        <f t="shared" si="53"/>
        <v>16771</v>
      </c>
    </row>
    <row r="923" spans="1:6" ht="20.25">
      <c r="A923" s="206" t="s">
        <v>22</v>
      </c>
      <c r="B923" s="220"/>
      <c r="C923" s="254" t="s">
        <v>513</v>
      </c>
      <c r="D923" s="248">
        <f>D924+D925+D926+D927</f>
        <v>16771</v>
      </c>
      <c r="E923" s="214">
        <f>E924+E925+E926+E927</f>
        <v>0</v>
      </c>
      <c r="F923" s="167">
        <f t="shared" si="53"/>
        <v>16771</v>
      </c>
    </row>
    <row r="924" spans="1:6" ht="40.5" customHeight="1">
      <c r="A924" s="547" t="s">
        <v>23</v>
      </c>
      <c r="B924" s="529"/>
      <c r="C924" s="254" t="s">
        <v>514</v>
      </c>
      <c r="D924" s="248">
        <v>196</v>
      </c>
      <c r="E924" s="214"/>
      <c r="F924" s="167">
        <f t="shared" si="53"/>
        <v>196</v>
      </c>
    </row>
    <row r="925" spans="1:6" ht="20.25" hidden="1">
      <c r="A925" s="236" t="s">
        <v>515</v>
      </c>
      <c r="B925" s="222"/>
      <c r="C925" s="254" t="s">
        <v>516</v>
      </c>
      <c r="D925" s="248"/>
      <c r="E925" s="214"/>
      <c r="F925" s="167">
        <f t="shared" si="53"/>
        <v>0</v>
      </c>
    </row>
    <row r="926" spans="1:6" ht="20.25">
      <c r="A926" s="236" t="s">
        <v>517</v>
      </c>
      <c r="B926" s="222"/>
      <c r="C926" s="254" t="s">
        <v>518</v>
      </c>
      <c r="D926" s="248">
        <f>14728+1000</f>
        <v>15728</v>
      </c>
      <c r="E926" s="214"/>
      <c r="F926" s="167">
        <f t="shared" si="53"/>
        <v>15728</v>
      </c>
    </row>
    <row r="927" spans="1:6" ht="20.25">
      <c r="A927" s="236" t="s">
        <v>519</v>
      </c>
      <c r="B927" s="222"/>
      <c r="C927" s="254" t="s">
        <v>520</v>
      </c>
      <c r="D927" s="248">
        <v>847</v>
      </c>
      <c r="E927" s="214"/>
      <c r="F927" s="167">
        <f t="shared" si="53"/>
        <v>847</v>
      </c>
    </row>
    <row r="928" spans="1:6" ht="20.25" hidden="1">
      <c r="A928" s="236" t="s">
        <v>196</v>
      </c>
      <c r="B928" s="222"/>
      <c r="C928" s="254" t="s">
        <v>197</v>
      </c>
      <c r="D928" s="248"/>
      <c r="E928" s="214"/>
      <c r="F928" s="167">
        <f t="shared" si="53"/>
        <v>0</v>
      </c>
    </row>
    <row r="929" spans="1:6" ht="20.25" hidden="1">
      <c r="A929" s="215"/>
      <c r="B929" s="220"/>
      <c r="C929" s="299" t="s">
        <v>198</v>
      </c>
      <c r="D929" s="248"/>
      <c r="E929" s="214"/>
      <c r="F929" s="167">
        <f t="shared" si="53"/>
        <v>0</v>
      </c>
    </row>
    <row r="930" spans="1:6" ht="20.25" hidden="1">
      <c r="A930" s="236" t="s">
        <v>199</v>
      </c>
      <c r="B930" s="222"/>
      <c r="C930" s="299" t="s">
        <v>200</v>
      </c>
      <c r="D930" s="248"/>
      <c r="E930" s="214"/>
      <c r="F930" s="167">
        <f t="shared" si="53"/>
        <v>0</v>
      </c>
    </row>
    <row r="931" spans="1:6" ht="20.25">
      <c r="A931" s="204" t="s">
        <v>24</v>
      </c>
      <c r="B931" s="220"/>
      <c r="C931" s="211" t="s">
        <v>521</v>
      </c>
      <c r="D931" s="350">
        <f>D932+D941+D944+D949+D955</f>
        <v>-38678.199999999997</v>
      </c>
      <c r="E931" s="409">
        <f>E932+E941+E944+E949+E955</f>
        <v>0</v>
      </c>
      <c r="F931" s="167">
        <f t="shared" si="53"/>
        <v>-38678.199999999997</v>
      </c>
    </row>
    <row r="932" spans="1:6" ht="20.25">
      <c r="A932" s="204" t="s">
        <v>25</v>
      </c>
      <c r="B932" s="220"/>
      <c r="C932" s="202" t="s">
        <v>522</v>
      </c>
      <c r="D932" s="350">
        <f>SUM(D933:D940)</f>
        <v>3078</v>
      </c>
      <c r="E932" s="409">
        <f>SUM(E933:E940)</f>
        <v>0</v>
      </c>
      <c r="F932" s="167">
        <f t="shared" si="53"/>
        <v>3078</v>
      </c>
    </row>
    <row r="933" spans="1:6" ht="20.25">
      <c r="A933" s="236" t="s">
        <v>847</v>
      </c>
      <c r="B933" s="222"/>
      <c r="C933" s="224" t="s">
        <v>523</v>
      </c>
      <c r="D933" s="248">
        <f>738+500</f>
        <v>1238</v>
      </c>
      <c r="E933" s="214"/>
      <c r="F933" s="167">
        <f t="shared" si="53"/>
        <v>1238</v>
      </c>
    </row>
    <row r="934" spans="1:6" ht="39.75" customHeight="1">
      <c r="A934" s="537" t="s">
        <v>524</v>
      </c>
      <c r="B934" s="529"/>
      <c r="C934" s="224" t="s">
        <v>525</v>
      </c>
      <c r="D934" s="248">
        <f>628+50</f>
        <v>678</v>
      </c>
      <c r="E934" s="214"/>
      <c r="F934" s="167">
        <f t="shared" si="53"/>
        <v>678</v>
      </c>
    </row>
    <row r="935" spans="1:6" ht="20.25">
      <c r="A935" s="236" t="s">
        <v>526</v>
      </c>
      <c r="B935" s="222"/>
      <c r="C935" s="224" t="s">
        <v>527</v>
      </c>
      <c r="D935" s="248">
        <f>34+20</f>
        <v>54</v>
      </c>
      <c r="E935" s="214"/>
      <c r="F935" s="167">
        <f t="shared" si="53"/>
        <v>54</v>
      </c>
    </row>
    <row r="936" spans="1:6" ht="20.25">
      <c r="A936" s="236" t="s">
        <v>1053</v>
      </c>
      <c r="B936" s="222"/>
      <c r="C936" s="224" t="s">
        <v>1052</v>
      </c>
      <c r="D936" s="248">
        <f>4+10</f>
        <v>14</v>
      </c>
      <c r="E936" s="214"/>
      <c r="F936" s="167">
        <f t="shared" si="53"/>
        <v>14</v>
      </c>
    </row>
    <row r="937" spans="1:6" ht="20.25" hidden="1">
      <c r="A937" s="236" t="s">
        <v>201</v>
      </c>
      <c r="B937" s="222"/>
      <c r="C937" s="224" t="s">
        <v>202</v>
      </c>
      <c r="D937" s="248"/>
      <c r="E937" s="214"/>
      <c r="F937" s="167">
        <f t="shared" si="53"/>
        <v>0</v>
      </c>
    </row>
    <row r="938" spans="1:6" ht="34.5" hidden="1" customHeight="1">
      <c r="A938" s="530" t="s">
        <v>528</v>
      </c>
      <c r="B938" s="529"/>
      <c r="C938" s="224" t="s">
        <v>529</v>
      </c>
      <c r="D938" s="248"/>
      <c r="E938" s="214"/>
      <c r="F938" s="167">
        <f t="shared" si="53"/>
        <v>0</v>
      </c>
    </row>
    <row r="939" spans="1:6" ht="20.25">
      <c r="A939" s="236" t="s">
        <v>530</v>
      </c>
      <c r="B939" s="222"/>
      <c r="C939" s="224" t="s">
        <v>531</v>
      </c>
      <c r="D939" s="248">
        <f>87+200</f>
        <v>287</v>
      </c>
      <c r="E939" s="214"/>
      <c r="F939" s="167">
        <f t="shared" si="53"/>
        <v>287</v>
      </c>
    </row>
    <row r="940" spans="1:6" ht="20.25">
      <c r="A940" s="236" t="s">
        <v>203</v>
      </c>
      <c r="B940" s="222"/>
      <c r="C940" s="224" t="s">
        <v>204</v>
      </c>
      <c r="D940" s="248">
        <f>657+150</f>
        <v>807</v>
      </c>
      <c r="E940" s="214"/>
      <c r="F940" s="167">
        <f t="shared" si="53"/>
        <v>807</v>
      </c>
    </row>
    <row r="941" spans="1:6" ht="20.25" hidden="1">
      <c r="A941" s="212" t="s">
        <v>26</v>
      </c>
      <c r="B941" s="213"/>
      <c r="C941" s="202" t="s">
        <v>532</v>
      </c>
      <c r="D941" s="350">
        <f>D942+D943</f>
        <v>0</v>
      </c>
      <c r="E941" s="409">
        <f>E942+E943</f>
        <v>0</v>
      </c>
      <c r="F941" s="167">
        <f t="shared" si="53"/>
        <v>0</v>
      </c>
    </row>
    <row r="942" spans="1:6" ht="20.25" hidden="1">
      <c r="A942" s="298" t="s">
        <v>533</v>
      </c>
      <c r="B942" s="222"/>
      <c r="C942" s="224" t="s">
        <v>534</v>
      </c>
      <c r="D942" s="248"/>
      <c r="E942" s="214"/>
      <c r="F942" s="167">
        <f t="shared" si="53"/>
        <v>0</v>
      </c>
    </row>
    <row r="943" spans="1:6" ht="20.25" hidden="1">
      <c r="A943" s="221" t="s">
        <v>205</v>
      </c>
      <c r="B943" s="222"/>
      <c r="C943" s="224" t="s">
        <v>206</v>
      </c>
      <c r="D943" s="248"/>
      <c r="E943" s="214"/>
      <c r="F943" s="167">
        <f t="shared" si="53"/>
        <v>0</v>
      </c>
    </row>
    <row r="944" spans="1:6" ht="20.25">
      <c r="A944" s="212" t="s">
        <v>27</v>
      </c>
      <c r="B944" s="220"/>
      <c r="C944" s="202" t="s">
        <v>535</v>
      </c>
      <c r="D944" s="350">
        <f>SUM(D945:D948)</f>
        <v>12477</v>
      </c>
      <c r="E944" s="409">
        <f>SUM(E945:E948)</f>
        <v>0</v>
      </c>
      <c r="F944" s="167">
        <f t="shared" ref="F944:F975" si="54">D944+E944</f>
        <v>12477</v>
      </c>
    </row>
    <row r="945" spans="1:6" ht="20.25">
      <c r="A945" s="236" t="s">
        <v>28</v>
      </c>
      <c r="B945" s="222"/>
      <c r="C945" s="224" t="s">
        <v>536</v>
      </c>
      <c r="D945" s="248">
        <f>6477+6000</f>
        <v>12477</v>
      </c>
      <c r="E945" s="214"/>
      <c r="F945" s="167">
        <f t="shared" si="54"/>
        <v>12477</v>
      </c>
    </row>
    <row r="946" spans="1:6" ht="37.5" hidden="1" customHeight="1">
      <c r="A946" s="547" t="s">
        <v>29</v>
      </c>
      <c r="B946" s="529"/>
      <c r="C946" s="224" t="s">
        <v>537</v>
      </c>
      <c r="D946" s="248">
        <v>0</v>
      </c>
      <c r="E946" s="214">
        <v>0</v>
      </c>
      <c r="F946" s="167">
        <f t="shared" si="54"/>
        <v>0</v>
      </c>
    </row>
    <row r="947" spans="1:6" ht="33.75" hidden="1" customHeight="1">
      <c r="A947" s="530" t="s">
        <v>207</v>
      </c>
      <c r="B947" s="529"/>
      <c r="C947" s="224" t="s">
        <v>208</v>
      </c>
      <c r="D947" s="248"/>
      <c r="E947" s="214"/>
      <c r="F947" s="167">
        <f t="shared" si="54"/>
        <v>0</v>
      </c>
    </row>
    <row r="948" spans="1:6" ht="20.25" hidden="1">
      <c r="A948" s="221" t="s">
        <v>209</v>
      </c>
      <c r="B948" s="222"/>
      <c r="C948" s="224" t="s">
        <v>848</v>
      </c>
      <c r="D948" s="248"/>
      <c r="E948" s="214"/>
      <c r="F948" s="167">
        <f t="shared" si="54"/>
        <v>0</v>
      </c>
    </row>
    <row r="949" spans="1:6" ht="20.25">
      <c r="A949" s="212" t="s">
        <v>636</v>
      </c>
      <c r="B949" s="220"/>
      <c r="C949" s="202" t="s">
        <v>538</v>
      </c>
      <c r="D949" s="350">
        <f>SUM(D950:D954)</f>
        <v>28984</v>
      </c>
      <c r="E949" s="409">
        <f>SUM(E950:E954)</f>
        <v>0</v>
      </c>
      <c r="F949" s="167">
        <f t="shared" si="54"/>
        <v>28984</v>
      </c>
    </row>
    <row r="950" spans="1:6" ht="20.25" hidden="1">
      <c r="A950" s="236" t="s">
        <v>210</v>
      </c>
      <c r="B950" s="222"/>
      <c r="C950" s="224" t="s">
        <v>539</v>
      </c>
      <c r="D950" s="248"/>
      <c r="E950" s="214"/>
      <c r="F950" s="167">
        <f t="shared" si="54"/>
        <v>0</v>
      </c>
    </row>
    <row r="951" spans="1:6" ht="20.25">
      <c r="A951" s="528" t="s">
        <v>337</v>
      </c>
      <c r="B951" s="529"/>
      <c r="C951" s="224" t="s">
        <v>333</v>
      </c>
      <c r="D951" s="248">
        <f>16781+3000+6000</f>
        <v>25781</v>
      </c>
      <c r="E951" s="214"/>
      <c r="F951" s="167">
        <f t="shared" si="54"/>
        <v>25781</v>
      </c>
    </row>
    <row r="952" spans="1:6" ht="20.25" hidden="1">
      <c r="A952" s="528" t="s">
        <v>338</v>
      </c>
      <c r="B952" s="529"/>
      <c r="C952" s="224" t="s">
        <v>334</v>
      </c>
      <c r="D952" s="248"/>
      <c r="E952" s="214"/>
      <c r="F952" s="167">
        <f t="shared" si="54"/>
        <v>0</v>
      </c>
    </row>
    <row r="953" spans="1:6" ht="20.25" hidden="1">
      <c r="A953" s="215" t="s">
        <v>906</v>
      </c>
      <c r="B953" s="222"/>
      <c r="C953" s="300" t="s">
        <v>666</v>
      </c>
      <c r="D953" s="248"/>
      <c r="E953" s="214"/>
      <c r="F953" s="167">
        <f t="shared" si="54"/>
        <v>0</v>
      </c>
    </row>
    <row r="954" spans="1:6" ht="20.25">
      <c r="A954" s="236" t="s">
        <v>635</v>
      </c>
      <c r="B954" s="222"/>
      <c r="C954" s="224" t="s">
        <v>540</v>
      </c>
      <c r="D954" s="248">
        <v>3203</v>
      </c>
      <c r="E954" s="214"/>
      <c r="F954" s="167">
        <f t="shared" si="54"/>
        <v>3203</v>
      </c>
    </row>
    <row r="955" spans="1:6" s="142" customFormat="1" ht="20.25">
      <c r="A955" s="212" t="s">
        <v>30</v>
      </c>
      <c r="B955" s="205"/>
      <c r="C955" s="202" t="s">
        <v>541</v>
      </c>
      <c r="D955" s="350">
        <f>D956+D957+D958+D959</f>
        <v>-83217.2</v>
      </c>
      <c r="E955" s="409">
        <f>E956+E957+E958+E959</f>
        <v>0</v>
      </c>
      <c r="F955" s="167">
        <f t="shared" si="54"/>
        <v>-83217.2</v>
      </c>
    </row>
    <row r="956" spans="1:6" ht="20.25">
      <c r="A956" s="236" t="s">
        <v>31</v>
      </c>
      <c r="B956" s="222"/>
      <c r="C956" s="224" t="s">
        <v>542</v>
      </c>
      <c r="D956" s="248">
        <f>37+22</f>
        <v>59</v>
      </c>
      <c r="E956" s="214"/>
      <c r="F956" s="167">
        <f t="shared" si="54"/>
        <v>59</v>
      </c>
    </row>
    <row r="957" spans="1:6" s="143" customFormat="1" ht="36">
      <c r="A957" s="384"/>
      <c r="B957" s="373" t="s">
        <v>850</v>
      </c>
      <c r="C957" s="276" t="s">
        <v>335</v>
      </c>
      <c r="D957" s="375">
        <f>-D1765</f>
        <v>-83276.2</v>
      </c>
      <c r="E957" s="417">
        <f>-E1765</f>
        <v>0</v>
      </c>
      <c r="F957" s="266">
        <f t="shared" si="54"/>
        <v>-83276.2</v>
      </c>
    </row>
    <row r="958" spans="1:6" ht="36" hidden="1">
      <c r="A958" s="236"/>
      <c r="B958" s="222" t="s">
        <v>907</v>
      </c>
      <c r="C958" s="224" t="s">
        <v>328</v>
      </c>
      <c r="D958" s="248"/>
      <c r="E958" s="214"/>
      <c r="F958" s="167">
        <f t="shared" si="54"/>
        <v>0</v>
      </c>
    </row>
    <row r="959" spans="1:6" ht="20.25" hidden="1">
      <c r="A959" s="221" t="s">
        <v>638</v>
      </c>
      <c r="B959" s="222"/>
      <c r="C959" s="224" t="s">
        <v>32</v>
      </c>
      <c r="D959" s="248"/>
      <c r="E959" s="214"/>
      <c r="F959" s="167">
        <f t="shared" si="54"/>
        <v>0</v>
      </c>
    </row>
    <row r="960" spans="1:6" ht="20.25" hidden="1">
      <c r="A960" s="212" t="s">
        <v>33</v>
      </c>
      <c r="B960" s="205"/>
      <c r="C960" s="202" t="s">
        <v>543</v>
      </c>
      <c r="D960" s="350">
        <f>D961</f>
        <v>0</v>
      </c>
      <c r="E960" s="409">
        <f>E961</f>
        <v>0</v>
      </c>
      <c r="F960" s="167">
        <f t="shared" si="54"/>
        <v>0</v>
      </c>
    </row>
    <row r="961" spans="1:6" ht="20.25" hidden="1">
      <c r="A961" s="212" t="s">
        <v>34</v>
      </c>
      <c r="B961" s="220"/>
      <c r="C961" s="224" t="s">
        <v>544</v>
      </c>
      <c r="D961" s="367">
        <f>D962+D963+D964+D965+D966</f>
        <v>0</v>
      </c>
      <c r="E961" s="414">
        <f>E962+E963+E964+E965+E966</f>
        <v>0</v>
      </c>
      <c r="F961" s="167">
        <f t="shared" si="54"/>
        <v>0</v>
      </c>
    </row>
    <row r="962" spans="1:6" ht="20.25" hidden="1">
      <c r="A962" s="221" t="s">
        <v>211</v>
      </c>
      <c r="B962" s="222"/>
      <c r="C962" s="224" t="s">
        <v>212</v>
      </c>
      <c r="D962" s="248"/>
      <c r="E962" s="214"/>
      <c r="F962" s="167">
        <f t="shared" si="54"/>
        <v>0</v>
      </c>
    </row>
    <row r="963" spans="1:6" ht="20.25" hidden="1">
      <c r="A963" s="221" t="s">
        <v>35</v>
      </c>
      <c r="B963" s="222"/>
      <c r="C963" s="224" t="s">
        <v>545</v>
      </c>
      <c r="D963" s="248"/>
      <c r="E963" s="214"/>
      <c r="F963" s="167">
        <f t="shared" si="54"/>
        <v>0</v>
      </c>
    </row>
    <row r="964" spans="1:6" ht="20.25" hidden="1">
      <c r="A964" s="221" t="s">
        <v>546</v>
      </c>
      <c r="B964" s="222"/>
      <c r="C964" s="224" t="s">
        <v>547</v>
      </c>
      <c r="D964" s="248"/>
      <c r="E964" s="214"/>
      <c r="F964" s="167">
        <f t="shared" si="54"/>
        <v>0</v>
      </c>
    </row>
    <row r="965" spans="1:6" ht="20.25" hidden="1">
      <c r="A965" s="221" t="s">
        <v>36</v>
      </c>
      <c r="B965" s="222"/>
      <c r="C965" s="224" t="s">
        <v>548</v>
      </c>
      <c r="D965" s="248"/>
      <c r="E965" s="214"/>
      <c r="F965" s="167">
        <f t="shared" si="54"/>
        <v>0</v>
      </c>
    </row>
    <row r="966" spans="1:6" ht="20.25" hidden="1">
      <c r="A966" s="528" t="s">
        <v>339</v>
      </c>
      <c r="B966" s="529"/>
      <c r="C966" s="224" t="s">
        <v>336</v>
      </c>
      <c r="D966" s="248"/>
      <c r="E966" s="214"/>
      <c r="F966" s="167">
        <f t="shared" si="54"/>
        <v>0</v>
      </c>
    </row>
    <row r="967" spans="1:6" ht="20.25" hidden="1">
      <c r="A967" s="212" t="s">
        <v>37</v>
      </c>
      <c r="B967" s="205"/>
      <c r="C967" s="202"/>
      <c r="D967" s="248"/>
      <c r="E967" s="214"/>
      <c r="F967" s="167">
        <f t="shared" si="54"/>
        <v>0</v>
      </c>
    </row>
    <row r="968" spans="1:6" ht="20.25" hidden="1">
      <c r="A968" s="212" t="s">
        <v>38</v>
      </c>
      <c r="B968" s="222"/>
      <c r="C968" s="224" t="s">
        <v>549</v>
      </c>
      <c r="D968" s="367">
        <f>D971+D972</f>
        <v>0</v>
      </c>
      <c r="E968" s="414">
        <f>E971+E972</f>
        <v>0</v>
      </c>
      <c r="F968" s="167">
        <f t="shared" si="54"/>
        <v>0</v>
      </c>
    </row>
    <row r="969" spans="1:6" ht="20.25" hidden="1">
      <c r="A969" s="530" t="s">
        <v>39</v>
      </c>
      <c r="B969" s="529"/>
      <c r="C969" s="224" t="s">
        <v>550</v>
      </c>
      <c r="D969" s="248"/>
      <c r="E969" s="214"/>
      <c r="F969" s="167">
        <f t="shared" si="54"/>
        <v>0</v>
      </c>
    </row>
    <row r="970" spans="1:6" ht="20.25" hidden="1">
      <c r="A970" s="221" t="s">
        <v>213</v>
      </c>
      <c r="B970" s="222"/>
      <c r="C970" s="224" t="s">
        <v>214</v>
      </c>
      <c r="D970" s="248"/>
      <c r="E970" s="214"/>
      <c r="F970" s="167">
        <f t="shared" si="54"/>
        <v>0</v>
      </c>
    </row>
    <row r="971" spans="1:6" ht="20.25" hidden="1">
      <c r="A971" s="221" t="s">
        <v>215</v>
      </c>
      <c r="B971" s="222"/>
      <c r="C971" s="224" t="s">
        <v>216</v>
      </c>
      <c r="D971" s="248"/>
      <c r="E971" s="214"/>
      <c r="F971" s="167">
        <f t="shared" si="54"/>
        <v>0</v>
      </c>
    </row>
    <row r="972" spans="1:6" ht="20.25" hidden="1">
      <c r="A972" s="221"/>
      <c r="B972" s="222" t="s">
        <v>852</v>
      </c>
      <c r="C972" s="224" t="s">
        <v>853</v>
      </c>
      <c r="D972" s="248"/>
      <c r="E972" s="214"/>
      <c r="F972" s="167">
        <f t="shared" si="54"/>
        <v>0</v>
      </c>
    </row>
    <row r="973" spans="1:6" ht="20.25" hidden="1">
      <c r="A973" s="221" t="s">
        <v>217</v>
      </c>
      <c r="B973" s="222"/>
      <c r="C973" s="224" t="s">
        <v>218</v>
      </c>
      <c r="D973" s="248"/>
      <c r="E973" s="214"/>
      <c r="F973" s="167">
        <f t="shared" si="54"/>
        <v>0</v>
      </c>
    </row>
    <row r="974" spans="1:6" ht="20.25" hidden="1">
      <c r="A974" s="221" t="s">
        <v>219</v>
      </c>
      <c r="B974" s="222"/>
      <c r="C974" s="224" t="s">
        <v>220</v>
      </c>
      <c r="D974" s="248"/>
      <c r="E974" s="214"/>
      <c r="F974" s="167">
        <f t="shared" si="54"/>
        <v>0</v>
      </c>
    </row>
    <row r="975" spans="1:6" ht="20.25">
      <c r="A975" s="204" t="s">
        <v>40</v>
      </c>
      <c r="B975" s="220"/>
      <c r="C975" s="202" t="s">
        <v>551</v>
      </c>
      <c r="D975" s="350">
        <f>D976</f>
        <v>14157</v>
      </c>
      <c r="E975" s="409">
        <f>E976</f>
        <v>0</v>
      </c>
      <c r="F975" s="167">
        <f t="shared" si="54"/>
        <v>14157</v>
      </c>
    </row>
    <row r="976" spans="1:6" ht="20.25">
      <c r="A976" s="204" t="s">
        <v>41</v>
      </c>
      <c r="B976" s="220"/>
      <c r="C976" s="224" t="s">
        <v>552</v>
      </c>
      <c r="D976" s="350">
        <f>D977+D1000</f>
        <v>14157</v>
      </c>
      <c r="E976" s="409">
        <f>E977+E1000</f>
        <v>0</v>
      </c>
      <c r="F976" s="167">
        <f t="shared" ref="F976:F1007" si="55">D976+E976</f>
        <v>14157</v>
      </c>
    </row>
    <row r="977" spans="1:6" ht="20.25">
      <c r="A977" s="204" t="s">
        <v>42</v>
      </c>
      <c r="B977" s="220"/>
      <c r="C977" s="202" t="s">
        <v>553</v>
      </c>
      <c r="D977" s="350">
        <f>SUM(D978:D998)</f>
        <v>14157</v>
      </c>
      <c r="E977" s="409">
        <f>SUM(E978:E998)</f>
        <v>0</v>
      </c>
      <c r="F977" s="167">
        <f t="shared" si="55"/>
        <v>14157</v>
      </c>
    </row>
    <row r="978" spans="1:6" ht="20.25" hidden="1">
      <c r="A978" s="236" t="s">
        <v>221</v>
      </c>
      <c r="B978" s="222"/>
      <c r="C978" s="224" t="s">
        <v>222</v>
      </c>
      <c r="D978" s="248"/>
      <c r="E978" s="214"/>
      <c r="F978" s="167">
        <f t="shared" si="55"/>
        <v>0</v>
      </c>
    </row>
    <row r="979" spans="1:6" ht="20.25" hidden="1">
      <c r="A979" s="236" t="s">
        <v>223</v>
      </c>
      <c r="B979" s="222"/>
      <c r="C979" s="224" t="s">
        <v>224</v>
      </c>
      <c r="D979" s="248"/>
      <c r="E979" s="214"/>
      <c r="F979" s="167">
        <f t="shared" si="55"/>
        <v>0</v>
      </c>
    </row>
    <row r="980" spans="1:6" ht="20.25" hidden="1">
      <c r="A980" s="236" t="s">
        <v>225</v>
      </c>
      <c r="B980" s="222"/>
      <c r="C980" s="224" t="s">
        <v>226</v>
      </c>
      <c r="D980" s="248"/>
      <c r="E980" s="214"/>
      <c r="F980" s="167">
        <f t="shared" si="55"/>
        <v>0</v>
      </c>
    </row>
    <row r="981" spans="1:6" ht="20.25" hidden="1">
      <c r="A981" s="236" t="s">
        <v>227</v>
      </c>
      <c r="B981" s="222"/>
      <c r="C981" s="224" t="s">
        <v>228</v>
      </c>
      <c r="D981" s="248"/>
      <c r="E981" s="214"/>
      <c r="F981" s="167">
        <f t="shared" si="55"/>
        <v>0</v>
      </c>
    </row>
    <row r="982" spans="1:6" ht="20.25" hidden="1">
      <c r="A982" s="530" t="s">
        <v>229</v>
      </c>
      <c r="B982" s="529"/>
      <c r="C982" s="224" t="s">
        <v>554</v>
      </c>
      <c r="D982" s="248"/>
      <c r="E982" s="214"/>
      <c r="F982" s="167">
        <f t="shared" si="55"/>
        <v>0</v>
      </c>
    </row>
    <row r="983" spans="1:6" ht="20.25" hidden="1">
      <c r="A983" s="236" t="s">
        <v>230</v>
      </c>
      <c r="B983" s="222"/>
      <c r="C983" s="224" t="s">
        <v>231</v>
      </c>
      <c r="D983" s="248"/>
      <c r="E983" s="214"/>
      <c r="F983" s="167">
        <f t="shared" si="55"/>
        <v>0</v>
      </c>
    </row>
    <row r="984" spans="1:6" ht="20.25" hidden="1">
      <c r="A984" s="530" t="s">
        <v>232</v>
      </c>
      <c r="B984" s="529"/>
      <c r="C984" s="224" t="s">
        <v>233</v>
      </c>
      <c r="D984" s="248"/>
      <c r="E984" s="214"/>
      <c r="F984" s="167">
        <f t="shared" si="55"/>
        <v>0</v>
      </c>
    </row>
    <row r="985" spans="1:6" ht="20.25" hidden="1">
      <c r="A985" s="466"/>
      <c r="B985" s="467" t="s">
        <v>294</v>
      </c>
      <c r="C985" s="224" t="s">
        <v>288</v>
      </c>
      <c r="D985" s="248"/>
      <c r="E985" s="214"/>
      <c r="F985" s="167">
        <f t="shared" si="55"/>
        <v>0</v>
      </c>
    </row>
    <row r="986" spans="1:6" ht="20.25" hidden="1">
      <c r="A986" s="466"/>
      <c r="B986" s="467" t="s">
        <v>295</v>
      </c>
      <c r="C986" s="224" t="s">
        <v>296</v>
      </c>
      <c r="D986" s="248"/>
      <c r="E986" s="214"/>
      <c r="F986" s="167">
        <f t="shared" si="55"/>
        <v>0</v>
      </c>
    </row>
    <row r="987" spans="1:6" ht="36.75" hidden="1">
      <c r="A987" s="466"/>
      <c r="B987" s="467" t="s">
        <v>297</v>
      </c>
      <c r="C987" s="224" t="s">
        <v>291</v>
      </c>
      <c r="D987" s="248"/>
      <c r="E987" s="214"/>
      <c r="F987" s="167">
        <f t="shared" si="55"/>
        <v>0</v>
      </c>
    </row>
    <row r="988" spans="1:6" ht="36.75" hidden="1">
      <c r="A988" s="477"/>
      <c r="B988" s="478" t="s">
        <v>340</v>
      </c>
      <c r="C988" s="224" t="s">
        <v>332</v>
      </c>
      <c r="D988" s="248"/>
      <c r="E988" s="214"/>
      <c r="F988" s="167">
        <f t="shared" si="55"/>
        <v>0</v>
      </c>
    </row>
    <row r="989" spans="1:6" ht="20.25" hidden="1">
      <c r="A989" s="528" t="s">
        <v>341</v>
      </c>
      <c r="B989" s="529"/>
      <c r="C989" s="295" t="s">
        <v>330</v>
      </c>
      <c r="D989" s="248"/>
      <c r="E989" s="214"/>
      <c r="F989" s="167">
        <f t="shared" si="55"/>
        <v>0</v>
      </c>
    </row>
    <row r="990" spans="1:6" ht="20.25" hidden="1">
      <c r="A990" s="236" t="s">
        <v>234</v>
      </c>
      <c r="B990" s="222"/>
      <c r="C990" s="224" t="s">
        <v>235</v>
      </c>
      <c r="D990" s="248"/>
      <c r="E990" s="214"/>
      <c r="F990" s="167">
        <f t="shared" si="55"/>
        <v>0</v>
      </c>
    </row>
    <row r="991" spans="1:6" ht="20.25" hidden="1">
      <c r="A991" s="236" t="s">
        <v>236</v>
      </c>
      <c r="B991" s="222"/>
      <c r="C991" s="224" t="s">
        <v>237</v>
      </c>
      <c r="D991" s="248"/>
      <c r="E991" s="214"/>
      <c r="F991" s="167">
        <f t="shared" si="55"/>
        <v>0</v>
      </c>
    </row>
    <row r="992" spans="1:6" ht="20.25" hidden="1">
      <c r="A992" s="236" t="s">
        <v>43</v>
      </c>
      <c r="B992" s="222"/>
      <c r="C992" s="224" t="s">
        <v>555</v>
      </c>
      <c r="D992" s="248"/>
      <c r="E992" s="214"/>
      <c r="F992" s="167">
        <f t="shared" si="55"/>
        <v>0</v>
      </c>
    </row>
    <row r="993" spans="1:6" ht="20.25" hidden="1">
      <c r="A993" s="236"/>
      <c r="B993" s="222" t="s">
        <v>298</v>
      </c>
      <c r="C993" s="224" t="s">
        <v>309</v>
      </c>
      <c r="D993" s="248"/>
      <c r="E993" s="214"/>
      <c r="F993" s="167">
        <f t="shared" si="55"/>
        <v>0</v>
      </c>
    </row>
    <row r="994" spans="1:6" ht="20.25" hidden="1">
      <c r="A994" s="540" t="s">
        <v>44</v>
      </c>
      <c r="B994" s="529"/>
      <c r="C994" s="224" t="s">
        <v>45</v>
      </c>
      <c r="D994" s="248"/>
      <c r="E994" s="214"/>
      <c r="F994" s="167">
        <f t="shared" si="55"/>
        <v>0</v>
      </c>
    </row>
    <row r="995" spans="1:6" ht="20.25">
      <c r="A995" s="464"/>
      <c r="B995" s="465" t="s">
        <v>299</v>
      </c>
      <c r="C995" s="224" t="s">
        <v>289</v>
      </c>
      <c r="D995" s="248">
        <v>870</v>
      </c>
      <c r="E995" s="214"/>
      <c r="F995" s="167">
        <f t="shared" si="55"/>
        <v>870</v>
      </c>
    </row>
    <row r="996" spans="1:6" ht="20.25" hidden="1">
      <c r="A996" s="464"/>
      <c r="B996" s="465" t="s">
        <v>300</v>
      </c>
      <c r="C996" s="224" t="s">
        <v>290</v>
      </c>
      <c r="D996" s="248"/>
      <c r="E996" s="214"/>
      <c r="F996" s="167">
        <f t="shared" si="55"/>
        <v>0</v>
      </c>
    </row>
    <row r="997" spans="1:6" ht="20.25">
      <c r="A997" s="464"/>
      <c r="B997" s="465" t="s">
        <v>342</v>
      </c>
      <c r="C997" s="301" t="s">
        <v>326</v>
      </c>
      <c r="D997" s="248">
        <v>1320</v>
      </c>
      <c r="E997" s="214"/>
      <c r="F997" s="167">
        <f t="shared" si="55"/>
        <v>1320</v>
      </c>
    </row>
    <row r="998" spans="1:6" ht="36.75">
      <c r="A998" s="464"/>
      <c r="B998" s="465" t="s">
        <v>1028</v>
      </c>
      <c r="C998" s="301" t="s">
        <v>1027</v>
      </c>
      <c r="D998" s="248">
        <v>11967</v>
      </c>
      <c r="E998" s="214"/>
      <c r="F998" s="167">
        <f t="shared" si="55"/>
        <v>11967</v>
      </c>
    </row>
    <row r="999" spans="1:6" ht="20.25" hidden="1">
      <c r="A999" s="398"/>
      <c r="B999" s="148"/>
      <c r="C999" s="429"/>
      <c r="D999" s="429"/>
      <c r="E999" s="148"/>
      <c r="F999" s="167">
        <f t="shared" si="55"/>
        <v>0</v>
      </c>
    </row>
    <row r="1000" spans="1:6" ht="20.25" hidden="1">
      <c r="A1000" s="206" t="s">
        <v>46</v>
      </c>
      <c r="B1000" s="220"/>
      <c r="C1000" s="202" t="s">
        <v>556</v>
      </c>
      <c r="D1000" s="349">
        <f>SUM(D1001:D1005)</f>
        <v>0</v>
      </c>
      <c r="E1000" s="354">
        <f>SUM(E1001:E1005)</f>
        <v>0</v>
      </c>
      <c r="F1000" s="167">
        <f t="shared" si="55"/>
        <v>0</v>
      </c>
    </row>
    <row r="1001" spans="1:6" ht="22.5" hidden="1" customHeight="1">
      <c r="A1001" s="236" t="s">
        <v>855</v>
      </c>
      <c r="B1001" s="222"/>
      <c r="C1001" s="224" t="s">
        <v>856</v>
      </c>
      <c r="D1001" s="248"/>
      <c r="E1001" s="214"/>
      <c r="F1001" s="167">
        <f t="shared" si="55"/>
        <v>0</v>
      </c>
    </row>
    <row r="1002" spans="1:6" ht="36" hidden="1" customHeight="1">
      <c r="A1002" s="530" t="s">
        <v>557</v>
      </c>
      <c r="B1002" s="529"/>
      <c r="C1002" s="224" t="s">
        <v>558</v>
      </c>
      <c r="D1002" s="248"/>
      <c r="E1002" s="214"/>
      <c r="F1002" s="167">
        <f t="shared" si="55"/>
        <v>0</v>
      </c>
    </row>
    <row r="1003" spans="1:6" ht="23.25" hidden="1" customHeight="1">
      <c r="A1003" s="530" t="s">
        <v>1025</v>
      </c>
      <c r="B1003" s="529"/>
      <c r="C1003" s="224" t="s">
        <v>1024</v>
      </c>
      <c r="D1003" s="248"/>
      <c r="E1003" s="214"/>
      <c r="F1003" s="167">
        <f t="shared" si="55"/>
        <v>0</v>
      </c>
    </row>
    <row r="1004" spans="1:6" ht="36.75" hidden="1" customHeight="1">
      <c r="A1004" s="552" t="s">
        <v>857</v>
      </c>
      <c r="B1004" s="529"/>
      <c r="C1004" s="224" t="s">
        <v>653</v>
      </c>
      <c r="D1004" s="248"/>
      <c r="E1004" s="214"/>
      <c r="F1004" s="167">
        <f t="shared" si="55"/>
        <v>0</v>
      </c>
    </row>
    <row r="1005" spans="1:6" ht="40.5" hidden="1" customHeight="1">
      <c r="A1005" s="530" t="s">
        <v>858</v>
      </c>
      <c r="B1005" s="529"/>
      <c r="C1005" s="224" t="s">
        <v>654</v>
      </c>
      <c r="D1005" s="248"/>
      <c r="E1005" s="214"/>
      <c r="F1005" s="167">
        <f t="shared" si="55"/>
        <v>0</v>
      </c>
    </row>
    <row r="1006" spans="1:6" ht="20.25" hidden="1" customHeight="1">
      <c r="A1006" s="524" t="s">
        <v>865</v>
      </c>
      <c r="B1006" s="529"/>
      <c r="C1006" s="202" t="s">
        <v>477</v>
      </c>
      <c r="D1006" s="350">
        <f>SUM(D1007:D1013)</f>
        <v>0</v>
      </c>
      <c r="E1006" s="409">
        <f>SUM(E1007:E1013)</f>
        <v>0</v>
      </c>
      <c r="F1006" s="167">
        <f t="shared" si="55"/>
        <v>0</v>
      </c>
    </row>
    <row r="1007" spans="1:6" ht="20.25" hidden="1">
      <c r="A1007" s="530" t="s">
        <v>860</v>
      </c>
      <c r="B1007" s="529"/>
      <c r="C1007" s="224" t="s">
        <v>656</v>
      </c>
      <c r="D1007" s="367"/>
      <c r="E1007" s="414"/>
      <c r="F1007" s="167">
        <f t="shared" si="55"/>
        <v>0</v>
      </c>
    </row>
    <row r="1008" spans="1:6" ht="20.25" hidden="1">
      <c r="A1008" s="466"/>
      <c r="B1008" s="467" t="s">
        <v>327</v>
      </c>
      <c r="C1008" s="224" t="s">
        <v>665</v>
      </c>
      <c r="D1008" s="248"/>
      <c r="E1008" s="214"/>
      <c r="F1008" s="167">
        <f t="shared" ref="F1008:F1039" si="56">D1008+E1008</f>
        <v>0</v>
      </c>
    </row>
    <row r="1009" spans="1:6" ht="20.25" hidden="1">
      <c r="A1009" s="466"/>
      <c r="B1009" s="467" t="s">
        <v>652</v>
      </c>
      <c r="C1009" s="224" t="s">
        <v>908</v>
      </c>
      <c r="D1009" s="248"/>
      <c r="E1009" s="214"/>
      <c r="F1009" s="167">
        <f t="shared" si="56"/>
        <v>0</v>
      </c>
    </row>
    <row r="1010" spans="1:6" ht="20.25" hidden="1">
      <c r="A1010" s="466"/>
      <c r="B1010" s="467" t="s">
        <v>344</v>
      </c>
      <c r="C1010" s="224" t="s">
        <v>909</v>
      </c>
      <c r="D1010" s="367"/>
      <c r="E1010" s="414"/>
      <c r="F1010" s="167">
        <f t="shared" si="56"/>
        <v>0</v>
      </c>
    </row>
    <row r="1011" spans="1:6" ht="20.25" hidden="1">
      <c r="A1011" s="466"/>
      <c r="B1011" s="473" t="s">
        <v>345</v>
      </c>
      <c r="C1011" s="224" t="s">
        <v>910</v>
      </c>
      <c r="D1011" s="248"/>
      <c r="E1011" s="214"/>
      <c r="F1011" s="167">
        <f t="shared" si="56"/>
        <v>0</v>
      </c>
    </row>
    <row r="1012" spans="1:6" ht="20.25" hidden="1">
      <c r="A1012" s="530"/>
      <c r="B1012" s="529"/>
      <c r="C1012" s="224" t="s">
        <v>911</v>
      </c>
      <c r="D1012" s="367"/>
      <c r="E1012" s="414"/>
      <c r="F1012" s="167">
        <f t="shared" si="56"/>
        <v>0</v>
      </c>
    </row>
    <row r="1013" spans="1:6" ht="20.25" hidden="1">
      <c r="A1013" s="302"/>
      <c r="B1013" s="303" t="s">
        <v>912</v>
      </c>
      <c r="C1013" s="224" t="s">
        <v>820</v>
      </c>
      <c r="D1013" s="367"/>
      <c r="E1013" s="414"/>
      <c r="F1013" s="167">
        <f t="shared" si="56"/>
        <v>0</v>
      </c>
    </row>
    <row r="1014" spans="1:6" ht="20.25">
      <c r="A1014" s="283"/>
      <c r="B1014" s="304" t="s">
        <v>913</v>
      </c>
      <c r="C1014" s="202" t="s">
        <v>48</v>
      </c>
      <c r="D1014" s="350">
        <f>D1086+D1126+D1163+D1172+D1200+D1226+D1281+D1314+D1361+D1408+D1453+D1496+D1527+D1556+D1583+D1658</f>
        <v>447950.86000000004</v>
      </c>
      <c r="E1014" s="409">
        <f>E1086+E1126+E1163+E1172+E1200+E1226+E1281+E1314+E1361+E1408+E1453+E1496+E1527+E1556+E1583+E1658</f>
        <v>0</v>
      </c>
      <c r="F1014" s="167">
        <f t="shared" si="56"/>
        <v>447950.86000000004</v>
      </c>
    </row>
    <row r="1015" spans="1:6" ht="20.25" hidden="1">
      <c r="A1015" s="538"/>
      <c r="B1015" s="529"/>
      <c r="C1015" s="203" t="s">
        <v>49</v>
      </c>
      <c r="D1015" s="350">
        <f>D1087+D1127+D1164+D1173+D1201+D1227+D1282+D1315+D1362+D1409+D1454+D1497+D1557+D1584+D1659</f>
        <v>447414.33</v>
      </c>
      <c r="E1015" s="409">
        <f>E1087+E1127+E1164+E1173+E1201+E1227+E1282+E1315+E1362+E1409+E1454+E1497+E1557+E1584+E1659</f>
        <v>0</v>
      </c>
      <c r="F1015" s="167">
        <f t="shared" si="56"/>
        <v>447414.33</v>
      </c>
    </row>
    <row r="1016" spans="1:6" ht="20.25" hidden="1">
      <c r="A1016" s="526"/>
      <c r="B1016" s="529"/>
      <c r="C1016" s="203">
        <v>10</v>
      </c>
      <c r="D1016" s="350">
        <f>D1088+D1128+D1202+D1228+D1283+D1363+D1455</f>
        <v>127499.29000000001</v>
      </c>
      <c r="E1016" s="409">
        <f>E1088+E1128+E1202+E1228+E1283+E1363+E1455</f>
        <v>0</v>
      </c>
      <c r="F1016" s="167">
        <f t="shared" si="56"/>
        <v>127499.29000000001</v>
      </c>
    </row>
    <row r="1017" spans="1:6" ht="20.25" hidden="1">
      <c r="A1017" s="538"/>
      <c r="B1017" s="529"/>
      <c r="C1017" s="202">
        <v>20</v>
      </c>
      <c r="D1017" s="350">
        <f>D1089+D1129+D1165+D1203+D1229+D1284+D1317+D1364+D1411+D1456+D1586</f>
        <v>140302.71000000002</v>
      </c>
      <c r="E1017" s="409">
        <f>E1089+E1129+E1165+E1203+E1229+E1284+E1317+E1364+E1411+E1456+E1586</f>
        <v>0</v>
      </c>
      <c r="F1017" s="167">
        <f t="shared" si="56"/>
        <v>140302.71000000002</v>
      </c>
    </row>
    <row r="1018" spans="1:6" ht="20.25" hidden="1">
      <c r="A1018" s="530" t="s">
        <v>240</v>
      </c>
      <c r="B1018" s="529"/>
      <c r="C1018" s="202" t="s">
        <v>241</v>
      </c>
      <c r="D1018" s="350"/>
      <c r="E1018" s="409"/>
      <c r="F1018" s="167">
        <f t="shared" si="56"/>
        <v>0</v>
      </c>
    </row>
    <row r="1019" spans="1:6" ht="20.25" hidden="1">
      <c r="A1019" s="215"/>
      <c r="B1019" s="460"/>
      <c r="C1019" s="202">
        <v>30</v>
      </c>
      <c r="D1019" s="350">
        <f>D1167</f>
        <v>12068</v>
      </c>
      <c r="E1019" s="409">
        <f>E1167</f>
        <v>0</v>
      </c>
      <c r="F1019" s="167">
        <f t="shared" si="56"/>
        <v>12068</v>
      </c>
    </row>
    <row r="1020" spans="1:6" ht="20.25" hidden="1">
      <c r="A1020" s="524" t="s">
        <v>50</v>
      </c>
      <c r="B1020" s="529"/>
      <c r="C1020" s="207" t="s">
        <v>51</v>
      </c>
      <c r="D1020" s="350">
        <f>D1168</f>
        <v>12068</v>
      </c>
      <c r="E1020" s="409">
        <f>E1168</f>
        <v>0</v>
      </c>
      <c r="F1020" s="167">
        <f t="shared" si="56"/>
        <v>12068</v>
      </c>
    </row>
    <row r="1021" spans="1:6" ht="20.25" hidden="1">
      <c r="A1021" s="524" t="s">
        <v>242</v>
      </c>
      <c r="B1021" s="529"/>
      <c r="C1021" s="203" t="s">
        <v>513</v>
      </c>
      <c r="D1021" s="350"/>
      <c r="E1021" s="409"/>
      <c r="F1021" s="167">
        <f t="shared" si="56"/>
        <v>0</v>
      </c>
    </row>
    <row r="1022" spans="1:6" ht="20.25" hidden="1">
      <c r="A1022" s="216" t="s">
        <v>243</v>
      </c>
      <c r="B1022" s="217"/>
      <c r="C1022" s="203" t="s">
        <v>244</v>
      </c>
      <c r="D1022" s="350"/>
      <c r="E1022" s="409"/>
      <c r="F1022" s="167">
        <f t="shared" si="56"/>
        <v>0</v>
      </c>
    </row>
    <row r="1023" spans="1:6" ht="20.25" hidden="1">
      <c r="A1023" s="215"/>
      <c r="B1023" s="218"/>
      <c r="C1023" s="203" t="s">
        <v>52</v>
      </c>
      <c r="D1023" s="350">
        <f>D1531+D1587</f>
        <v>14294.83</v>
      </c>
      <c r="E1023" s="409">
        <f>E1531+E1587</f>
        <v>0</v>
      </c>
      <c r="F1023" s="167">
        <f t="shared" si="56"/>
        <v>14294.83</v>
      </c>
    </row>
    <row r="1024" spans="1:6" ht="20.25" hidden="1">
      <c r="A1024" s="219" t="s">
        <v>53</v>
      </c>
      <c r="B1024" s="205"/>
      <c r="C1024" s="203" t="s">
        <v>626</v>
      </c>
      <c r="D1024" s="350">
        <f>D1532+D1588</f>
        <v>14294.83</v>
      </c>
      <c r="E1024" s="409">
        <f>E1532+E1588</f>
        <v>0</v>
      </c>
      <c r="F1024" s="167">
        <f t="shared" si="56"/>
        <v>14294.83</v>
      </c>
    </row>
    <row r="1025" spans="1:6" ht="20.25" hidden="1">
      <c r="A1025" s="215"/>
      <c r="B1025" s="205"/>
      <c r="C1025" s="202">
        <v>50</v>
      </c>
      <c r="D1025" s="350"/>
      <c r="E1025" s="409"/>
      <c r="F1025" s="167">
        <f t="shared" si="56"/>
        <v>0</v>
      </c>
    </row>
    <row r="1026" spans="1:6" ht="20.25" hidden="1">
      <c r="A1026" s="219" t="s">
        <v>246</v>
      </c>
      <c r="B1026" s="218"/>
      <c r="C1026" s="203" t="s">
        <v>247</v>
      </c>
      <c r="D1026" s="350"/>
      <c r="E1026" s="409"/>
      <c r="F1026" s="167">
        <f t="shared" si="56"/>
        <v>0</v>
      </c>
    </row>
    <row r="1027" spans="1:6" ht="20.25" hidden="1">
      <c r="A1027" s="526"/>
      <c r="B1027" s="529"/>
      <c r="C1027" s="203" t="s">
        <v>592</v>
      </c>
      <c r="D1027" s="350">
        <f>D1132+D1174+D1230+D1285+D1318+D1412</f>
        <v>58539</v>
      </c>
      <c r="E1027" s="409">
        <f>E1132+E1174+E1230+E1285+E1318+E1412</f>
        <v>-155</v>
      </c>
      <c r="F1027" s="167">
        <f t="shared" si="56"/>
        <v>58384</v>
      </c>
    </row>
    <row r="1028" spans="1:6" ht="20.25" hidden="1">
      <c r="A1028" s="219" t="s">
        <v>55</v>
      </c>
      <c r="B1028" s="220"/>
      <c r="C1028" s="202" t="s">
        <v>56</v>
      </c>
      <c r="D1028" s="350">
        <f>D1133+D1175+D1231+D1286+D1319+D1413</f>
        <v>58539</v>
      </c>
      <c r="E1028" s="409">
        <f>E1133+E1175+E1231+E1286+E1319+E1413</f>
        <v>-155</v>
      </c>
      <c r="F1028" s="167">
        <f t="shared" si="56"/>
        <v>58384</v>
      </c>
    </row>
    <row r="1029" spans="1:6" ht="20.25" hidden="1">
      <c r="A1029" s="221"/>
      <c r="B1029" s="218" t="s">
        <v>57</v>
      </c>
      <c r="C1029" s="202" t="s">
        <v>58</v>
      </c>
      <c r="D1029" s="350">
        <f>D1134+D1320+D1414</f>
        <v>56539</v>
      </c>
      <c r="E1029" s="409">
        <f>E1134+E1320+E1414</f>
        <v>-155</v>
      </c>
      <c r="F1029" s="167">
        <f t="shared" si="56"/>
        <v>56384</v>
      </c>
    </row>
    <row r="1030" spans="1:6" ht="20.25" hidden="1">
      <c r="A1030" s="221"/>
      <c r="B1030" s="220" t="s">
        <v>59</v>
      </c>
      <c r="C1030" s="202" t="s">
        <v>60</v>
      </c>
      <c r="D1030" s="350">
        <f>D1287</f>
        <v>2000</v>
      </c>
      <c r="E1030" s="409">
        <f>E1287</f>
        <v>0</v>
      </c>
      <c r="F1030" s="167">
        <f t="shared" si="56"/>
        <v>2000</v>
      </c>
    </row>
    <row r="1031" spans="1:6" ht="36" hidden="1">
      <c r="A1031" s="221"/>
      <c r="B1031" s="220" t="s">
        <v>248</v>
      </c>
      <c r="C1031" s="202" t="s">
        <v>249</v>
      </c>
      <c r="D1031" s="350"/>
      <c r="E1031" s="409"/>
      <c r="F1031" s="167">
        <f t="shared" si="56"/>
        <v>0</v>
      </c>
    </row>
    <row r="1032" spans="1:6" ht="36" hidden="1">
      <c r="A1032" s="221"/>
      <c r="B1032" s="220" t="s">
        <v>250</v>
      </c>
      <c r="C1032" s="202" t="s">
        <v>251</v>
      </c>
      <c r="D1032" s="350"/>
      <c r="E1032" s="409"/>
      <c r="F1032" s="167">
        <f t="shared" si="56"/>
        <v>0</v>
      </c>
    </row>
    <row r="1033" spans="1:6" ht="54" hidden="1">
      <c r="A1033" s="221"/>
      <c r="B1033" s="220" t="s">
        <v>253</v>
      </c>
      <c r="C1033" s="202" t="s">
        <v>254</v>
      </c>
      <c r="D1033" s="350"/>
      <c r="E1033" s="409"/>
      <c r="F1033" s="167">
        <f t="shared" si="56"/>
        <v>0</v>
      </c>
    </row>
    <row r="1034" spans="1:6" ht="36" hidden="1">
      <c r="A1034" s="221"/>
      <c r="B1034" s="475" t="s">
        <v>61</v>
      </c>
      <c r="C1034" s="202" t="s">
        <v>62</v>
      </c>
      <c r="D1034" s="350"/>
      <c r="E1034" s="409"/>
      <c r="F1034" s="167">
        <f t="shared" si="56"/>
        <v>0</v>
      </c>
    </row>
    <row r="1035" spans="1:6" ht="20.25" hidden="1">
      <c r="A1035" s="219" t="s">
        <v>63</v>
      </c>
      <c r="B1035" s="460"/>
      <c r="C1035" s="202" t="s">
        <v>560</v>
      </c>
      <c r="D1035" s="350">
        <f>D1288</f>
        <v>0</v>
      </c>
      <c r="E1035" s="409">
        <f>E1288</f>
        <v>0</v>
      </c>
      <c r="F1035" s="167">
        <f t="shared" si="56"/>
        <v>0</v>
      </c>
    </row>
    <row r="1036" spans="1:6" ht="20.25" hidden="1">
      <c r="A1036" s="221"/>
      <c r="B1036" s="220" t="s">
        <v>64</v>
      </c>
      <c r="C1036" s="202" t="s">
        <v>65</v>
      </c>
      <c r="D1036" s="350">
        <f>D1289</f>
        <v>0</v>
      </c>
      <c r="E1036" s="409">
        <f>E1289</f>
        <v>0</v>
      </c>
      <c r="F1036" s="167">
        <f t="shared" si="56"/>
        <v>0</v>
      </c>
    </row>
    <row r="1037" spans="1:6" ht="20.25" hidden="1">
      <c r="A1037" s="215"/>
      <c r="B1037" s="460"/>
      <c r="C1037" s="203">
        <v>55</v>
      </c>
      <c r="D1037" s="350">
        <f>D1100+D1204+D1233+D1368+D1415+D1500+D1592+D1667</f>
        <v>22145</v>
      </c>
      <c r="E1037" s="409">
        <f>E1100+E1204+E1233+E1368+E1415+E1500+E1592+E1667</f>
        <v>0</v>
      </c>
      <c r="F1037" s="167">
        <f t="shared" si="56"/>
        <v>22145</v>
      </c>
    </row>
    <row r="1038" spans="1:6" ht="20.25" hidden="1">
      <c r="A1038" s="219" t="s">
        <v>66</v>
      </c>
      <c r="B1038" s="460"/>
      <c r="C1038" s="202" t="s">
        <v>67</v>
      </c>
      <c r="D1038" s="350">
        <f>D1101+D1205+D1234+D1369+D1416+D1501+D1593+D1668</f>
        <v>22145</v>
      </c>
      <c r="E1038" s="409">
        <f>E1101+E1205+E1234+E1369+E1416+E1501+E1593+E1668</f>
        <v>0</v>
      </c>
      <c r="F1038" s="167">
        <f t="shared" si="56"/>
        <v>22145</v>
      </c>
    </row>
    <row r="1039" spans="1:6" ht="20.25" hidden="1">
      <c r="A1039" s="219"/>
      <c r="B1039" s="220" t="s">
        <v>255</v>
      </c>
      <c r="C1039" s="202" t="s">
        <v>256</v>
      </c>
      <c r="D1039" s="350"/>
      <c r="E1039" s="409"/>
      <c r="F1039" s="167">
        <f t="shared" si="56"/>
        <v>0</v>
      </c>
    </row>
    <row r="1040" spans="1:6" ht="36" hidden="1">
      <c r="A1040" s="219"/>
      <c r="B1040" s="220" t="s">
        <v>257</v>
      </c>
      <c r="C1040" s="202" t="s">
        <v>258</v>
      </c>
      <c r="D1040" s="350">
        <f>D1372+D1503</f>
        <v>0</v>
      </c>
      <c r="E1040" s="409">
        <f>E1372+E1503</f>
        <v>0</v>
      </c>
      <c r="F1040" s="167">
        <f t="shared" ref="F1040:F1071" si="57">D1040+E1040</f>
        <v>0</v>
      </c>
    </row>
    <row r="1041" spans="1:6" ht="20.25" hidden="1">
      <c r="A1041" s="219"/>
      <c r="B1041" s="475" t="s">
        <v>346</v>
      </c>
      <c r="C1041" s="202" t="s">
        <v>325</v>
      </c>
      <c r="D1041" s="350">
        <f>D1417+D1463+D1538</f>
        <v>0</v>
      </c>
      <c r="E1041" s="409">
        <f>E1417+E1463+E1538</f>
        <v>0</v>
      </c>
      <c r="F1041" s="167">
        <f t="shared" si="57"/>
        <v>0</v>
      </c>
    </row>
    <row r="1042" spans="1:6" ht="20.25" hidden="1">
      <c r="A1042" s="219"/>
      <c r="B1042" s="475" t="s">
        <v>68</v>
      </c>
      <c r="C1042" s="202" t="s">
        <v>622</v>
      </c>
      <c r="D1042" s="350">
        <f>D1418+D1594</f>
        <v>0</v>
      </c>
      <c r="E1042" s="409">
        <f>E1418+E1594</f>
        <v>0</v>
      </c>
      <c r="F1042" s="167">
        <f t="shared" si="57"/>
        <v>0</v>
      </c>
    </row>
    <row r="1043" spans="1:6" ht="20.25" hidden="1">
      <c r="A1043" s="223"/>
      <c r="B1043" s="220" t="s">
        <v>259</v>
      </c>
      <c r="C1043" s="202" t="s">
        <v>260</v>
      </c>
      <c r="D1043" s="350"/>
      <c r="E1043" s="409"/>
      <c r="F1043" s="167">
        <f t="shared" si="57"/>
        <v>0</v>
      </c>
    </row>
    <row r="1044" spans="1:6" ht="20.25" hidden="1">
      <c r="A1044" s="223"/>
      <c r="B1044" s="220" t="s">
        <v>261</v>
      </c>
      <c r="C1044" s="202" t="s">
        <v>262</v>
      </c>
      <c r="D1044" s="350"/>
      <c r="E1044" s="409"/>
      <c r="F1044" s="167">
        <f t="shared" si="57"/>
        <v>0</v>
      </c>
    </row>
    <row r="1045" spans="1:6" ht="20.25" hidden="1">
      <c r="A1045" s="223"/>
      <c r="B1045" s="218" t="s">
        <v>624</v>
      </c>
      <c r="C1045" s="202" t="s">
        <v>625</v>
      </c>
      <c r="D1045" s="350">
        <f>D1102+D1206+D1235+D1419++D1504+D1669</f>
        <v>0</v>
      </c>
      <c r="E1045" s="409">
        <f>E1102+E1206+E1235+E1419++E1504+E1669</f>
        <v>0</v>
      </c>
      <c r="F1045" s="167">
        <f t="shared" si="57"/>
        <v>0</v>
      </c>
    </row>
    <row r="1046" spans="1:6" ht="20.25" hidden="1">
      <c r="A1046" s="223"/>
      <c r="B1046" s="218" t="s">
        <v>347</v>
      </c>
      <c r="C1046" s="202" t="s">
        <v>329</v>
      </c>
      <c r="D1046" s="350">
        <f>D1103</f>
        <v>0</v>
      </c>
      <c r="E1046" s="409">
        <f>E1103</f>
        <v>0</v>
      </c>
      <c r="F1046" s="167">
        <f t="shared" si="57"/>
        <v>0</v>
      </c>
    </row>
    <row r="1047" spans="1:6" ht="36" hidden="1">
      <c r="A1047" s="223"/>
      <c r="B1047" s="222" t="s">
        <v>321</v>
      </c>
      <c r="C1047" s="202">
        <v>56</v>
      </c>
      <c r="D1047" s="350">
        <f>D1207+D1237+D1324+D1373+D1421+D1466+D1505+D1563+D1597</f>
        <v>0</v>
      </c>
      <c r="E1047" s="409">
        <f>E1207+E1237+E1324+E1373+E1421+E1466+E1505+E1563+E1597</f>
        <v>0</v>
      </c>
      <c r="F1047" s="167">
        <f t="shared" si="57"/>
        <v>0</v>
      </c>
    </row>
    <row r="1048" spans="1:6" ht="20.25" hidden="1">
      <c r="A1048" s="215"/>
      <c r="B1048" s="220"/>
      <c r="C1048" s="203">
        <v>57</v>
      </c>
      <c r="D1048" s="350">
        <f t="shared" ref="D1048:E1051" si="58">D1239+D1290+D1375</f>
        <v>43019</v>
      </c>
      <c r="E1048" s="409">
        <f t="shared" si="58"/>
        <v>0</v>
      </c>
      <c r="F1048" s="167">
        <f t="shared" si="57"/>
        <v>43019</v>
      </c>
    </row>
    <row r="1049" spans="1:6" ht="20.25" hidden="1">
      <c r="A1049" s="225" t="s">
        <v>69</v>
      </c>
      <c r="B1049" s="220"/>
      <c r="C1049" s="202" t="s">
        <v>70</v>
      </c>
      <c r="D1049" s="350">
        <f t="shared" si="58"/>
        <v>43019</v>
      </c>
      <c r="E1049" s="409">
        <f t="shared" si="58"/>
        <v>0</v>
      </c>
      <c r="F1049" s="167">
        <f t="shared" si="57"/>
        <v>43019</v>
      </c>
    </row>
    <row r="1050" spans="1:6" ht="20.25" hidden="1">
      <c r="A1050" s="219"/>
      <c r="B1050" s="475" t="s">
        <v>71</v>
      </c>
      <c r="C1050" s="202" t="s">
        <v>72</v>
      </c>
      <c r="D1050" s="350">
        <f t="shared" si="58"/>
        <v>3154</v>
      </c>
      <c r="E1050" s="409">
        <f t="shared" si="58"/>
        <v>0</v>
      </c>
      <c r="F1050" s="167">
        <f t="shared" si="57"/>
        <v>3154</v>
      </c>
    </row>
    <row r="1051" spans="1:6" ht="20.25" hidden="1">
      <c r="A1051" s="226"/>
      <c r="B1051" s="475" t="s">
        <v>73</v>
      </c>
      <c r="C1051" s="202" t="s">
        <v>74</v>
      </c>
      <c r="D1051" s="350">
        <f t="shared" si="58"/>
        <v>37938</v>
      </c>
      <c r="E1051" s="409">
        <f t="shared" si="58"/>
        <v>0</v>
      </c>
      <c r="F1051" s="167">
        <f t="shared" si="57"/>
        <v>37938</v>
      </c>
    </row>
    <row r="1052" spans="1:6" ht="20.25" hidden="1">
      <c r="A1052" s="226"/>
      <c r="B1052" s="475" t="s">
        <v>308</v>
      </c>
      <c r="C1052" s="202" t="s">
        <v>292</v>
      </c>
      <c r="D1052" s="350"/>
      <c r="E1052" s="409"/>
      <c r="F1052" s="167">
        <f t="shared" si="57"/>
        <v>0</v>
      </c>
    </row>
    <row r="1053" spans="1:6" ht="20.25" hidden="1">
      <c r="A1053" s="215"/>
      <c r="B1053" s="396"/>
      <c r="C1053" s="203">
        <v>59</v>
      </c>
      <c r="D1053" s="350">
        <f>D1106+D1245+D1326+D1380+D1633</f>
        <v>4852.5</v>
      </c>
      <c r="E1053" s="409">
        <f>E1106+E1245+E1326+E1380+E1633</f>
        <v>155</v>
      </c>
      <c r="F1053" s="167">
        <f t="shared" si="57"/>
        <v>5007.5</v>
      </c>
    </row>
    <row r="1054" spans="1:6" ht="20.25" hidden="1">
      <c r="A1054" s="219" t="s">
        <v>75</v>
      </c>
      <c r="B1054" s="220"/>
      <c r="C1054" s="202" t="s">
        <v>76</v>
      </c>
      <c r="D1054" s="350">
        <f>D1246</f>
        <v>0</v>
      </c>
      <c r="E1054" s="409">
        <f>E1246</f>
        <v>0</v>
      </c>
      <c r="F1054" s="167">
        <f t="shared" si="57"/>
        <v>0</v>
      </c>
    </row>
    <row r="1055" spans="1:6" ht="20.25" hidden="1">
      <c r="A1055" s="206" t="s">
        <v>263</v>
      </c>
      <c r="B1055" s="208"/>
      <c r="C1055" s="202" t="s">
        <v>108</v>
      </c>
      <c r="D1055" s="350"/>
      <c r="E1055" s="409"/>
      <c r="F1055" s="167">
        <f t="shared" si="57"/>
        <v>0</v>
      </c>
    </row>
    <row r="1056" spans="1:6" ht="20.25" hidden="1">
      <c r="A1056" s="206" t="s">
        <v>77</v>
      </c>
      <c r="B1056" s="396"/>
      <c r="C1056" s="202" t="s">
        <v>619</v>
      </c>
      <c r="D1056" s="350">
        <f>D1248+D1327+D1381</f>
        <v>3594.5</v>
      </c>
      <c r="E1056" s="409">
        <f>E1248+E1327+E1381</f>
        <v>5</v>
      </c>
      <c r="F1056" s="167">
        <f t="shared" si="57"/>
        <v>3599.5</v>
      </c>
    </row>
    <row r="1057" spans="1:6" ht="20.25" hidden="1">
      <c r="A1057" s="206" t="s">
        <v>78</v>
      </c>
      <c r="B1057" s="396"/>
      <c r="C1057" s="202" t="s">
        <v>620</v>
      </c>
      <c r="D1057" s="350">
        <f>D1328</f>
        <v>1205</v>
      </c>
      <c r="E1057" s="409">
        <f>E1328</f>
        <v>155</v>
      </c>
      <c r="F1057" s="167">
        <f t="shared" si="57"/>
        <v>1360</v>
      </c>
    </row>
    <row r="1058" spans="1:6" ht="20.25" hidden="1">
      <c r="A1058" s="206" t="s">
        <v>264</v>
      </c>
      <c r="B1058" s="396"/>
      <c r="C1058" s="202" t="s">
        <v>265</v>
      </c>
      <c r="D1058" s="350"/>
      <c r="E1058" s="409"/>
      <c r="F1058" s="167">
        <f t="shared" si="57"/>
        <v>0</v>
      </c>
    </row>
    <row r="1059" spans="1:6" ht="20.25" hidden="1">
      <c r="A1059" s="206" t="s">
        <v>266</v>
      </c>
      <c r="B1059" s="396"/>
      <c r="C1059" s="202" t="s">
        <v>267</v>
      </c>
      <c r="D1059" s="350">
        <f>D1107</f>
        <v>0</v>
      </c>
      <c r="E1059" s="409">
        <f>E1107</f>
        <v>0</v>
      </c>
      <c r="F1059" s="167">
        <f t="shared" si="57"/>
        <v>0</v>
      </c>
    </row>
    <row r="1060" spans="1:6" ht="20.25" hidden="1">
      <c r="A1060" s="215"/>
      <c r="B1060" s="305"/>
      <c r="C1060" s="203">
        <v>70</v>
      </c>
      <c r="D1060" s="350">
        <f>D1108+D1143+D1189+D1208+D1249+D1299+D1330+D1382+D1425+D1468+D1507+D1539+D1575+D1599+D1635</f>
        <v>0</v>
      </c>
      <c r="E1060" s="409">
        <f>E1108+E1143+E1189+E1208+E1249+E1299+E1330+E1382+E1425+E1468+E1507+E1539+E1575+E1599+E1635</f>
        <v>0</v>
      </c>
      <c r="F1060" s="167">
        <f t="shared" si="57"/>
        <v>0</v>
      </c>
    </row>
    <row r="1061" spans="1:6" ht="20.25" hidden="1">
      <c r="A1061" s="544"/>
      <c r="B1061" s="529"/>
      <c r="C1061" s="203">
        <v>71</v>
      </c>
      <c r="D1061" s="350">
        <f>D1109+D1144+D1190+D1209+D1250+D1300+D1331+D1383+D1426+D1469+D1508+D1540+D1575+D1600+D1636</f>
        <v>0</v>
      </c>
      <c r="E1061" s="409">
        <f>E1109+E1144+E1190+E1209+E1250+E1300+E1331+E1383+E1426+E1469+E1508+E1540+E1575+E1600+E1636</f>
        <v>0</v>
      </c>
      <c r="F1061" s="167">
        <f t="shared" si="57"/>
        <v>0</v>
      </c>
    </row>
    <row r="1062" spans="1:6" ht="20.25" hidden="1">
      <c r="A1062" s="526" t="s">
        <v>79</v>
      </c>
      <c r="B1062" s="529"/>
      <c r="C1062" s="202" t="s">
        <v>80</v>
      </c>
      <c r="D1062" s="350"/>
      <c r="E1062" s="409"/>
      <c r="F1062" s="167">
        <f t="shared" si="57"/>
        <v>0</v>
      </c>
    </row>
    <row r="1063" spans="1:6" ht="20.25" hidden="1">
      <c r="A1063" s="219"/>
      <c r="B1063" s="218" t="s">
        <v>81</v>
      </c>
      <c r="C1063" s="228" t="s">
        <v>82</v>
      </c>
      <c r="D1063" s="350"/>
      <c r="E1063" s="409"/>
      <c r="F1063" s="167">
        <f t="shared" si="57"/>
        <v>0</v>
      </c>
    </row>
    <row r="1064" spans="1:6" ht="20.25" hidden="1">
      <c r="A1064" s="219"/>
      <c r="B1064" s="220" t="s">
        <v>83</v>
      </c>
      <c r="C1064" s="228" t="s">
        <v>84</v>
      </c>
      <c r="D1064" s="350"/>
      <c r="E1064" s="409"/>
      <c r="F1064" s="167">
        <f t="shared" si="57"/>
        <v>0</v>
      </c>
    </row>
    <row r="1065" spans="1:6" ht="20.25" hidden="1">
      <c r="A1065" s="219"/>
      <c r="B1065" s="220" t="s">
        <v>85</v>
      </c>
      <c r="C1065" s="228" t="s">
        <v>86</v>
      </c>
      <c r="D1065" s="350"/>
      <c r="E1065" s="409"/>
      <c r="F1065" s="167">
        <f t="shared" si="57"/>
        <v>0</v>
      </c>
    </row>
    <row r="1066" spans="1:6" ht="20.25" hidden="1">
      <c r="A1066" s="219"/>
      <c r="B1066" s="475" t="s">
        <v>87</v>
      </c>
      <c r="C1066" s="228" t="s">
        <v>88</v>
      </c>
      <c r="D1066" s="350"/>
      <c r="E1066" s="409"/>
      <c r="F1066" s="167">
        <f t="shared" si="57"/>
        <v>0</v>
      </c>
    </row>
    <row r="1067" spans="1:6" ht="20.25" hidden="1">
      <c r="A1067" s="526" t="s">
        <v>268</v>
      </c>
      <c r="B1067" s="529"/>
      <c r="C1067" s="228" t="s">
        <v>269</v>
      </c>
      <c r="D1067" s="350"/>
      <c r="E1067" s="409"/>
      <c r="F1067" s="167">
        <f t="shared" si="57"/>
        <v>0</v>
      </c>
    </row>
    <row r="1068" spans="1:6" ht="20.25" hidden="1">
      <c r="A1068" s="219"/>
      <c r="B1068" s="218"/>
      <c r="C1068" s="202">
        <v>72</v>
      </c>
      <c r="D1068" s="350"/>
      <c r="E1068" s="409"/>
      <c r="F1068" s="167">
        <f t="shared" si="57"/>
        <v>0</v>
      </c>
    </row>
    <row r="1069" spans="1:6" ht="20.25" hidden="1">
      <c r="A1069" s="229" t="s">
        <v>270</v>
      </c>
      <c r="B1069" s="218"/>
      <c r="C1069" s="202" t="s">
        <v>271</v>
      </c>
      <c r="D1069" s="350"/>
      <c r="E1069" s="409"/>
      <c r="F1069" s="167">
        <f t="shared" si="57"/>
        <v>0</v>
      </c>
    </row>
    <row r="1070" spans="1:6" ht="20.25" hidden="1">
      <c r="A1070" s="229"/>
      <c r="B1070" s="220" t="s">
        <v>272</v>
      </c>
      <c r="C1070" s="202" t="s">
        <v>273</v>
      </c>
      <c r="D1070" s="350"/>
      <c r="E1070" s="409"/>
      <c r="F1070" s="167">
        <f t="shared" si="57"/>
        <v>0</v>
      </c>
    </row>
    <row r="1071" spans="1:6" ht="20.25" hidden="1">
      <c r="A1071" s="215"/>
      <c r="B1071" s="220"/>
      <c r="C1071" s="202">
        <v>79</v>
      </c>
      <c r="D1071" s="350">
        <f>D1116+D1151+D1257+D1338+D1390+D1436+D1479+D1547+D1576+D1609+D1643</f>
        <v>967</v>
      </c>
      <c r="E1071" s="409">
        <f>E1116+E1151+E1257+E1338+E1390+E1436+E1479+E1547+E1576+E1609+E1643</f>
        <v>0</v>
      </c>
      <c r="F1071" s="167">
        <f t="shared" si="57"/>
        <v>967</v>
      </c>
    </row>
    <row r="1072" spans="1:6" ht="20.25" hidden="1">
      <c r="A1072" s="229"/>
      <c r="B1072" s="220"/>
      <c r="C1072" s="202">
        <v>80</v>
      </c>
      <c r="D1072" s="350"/>
      <c r="E1072" s="409"/>
      <c r="F1072" s="167">
        <f t="shared" ref="F1072:F1096" si="59">D1072+E1072</f>
        <v>0</v>
      </c>
    </row>
    <row r="1073" spans="1:6" ht="20.25" hidden="1">
      <c r="A1073" s="534" t="s">
        <v>274</v>
      </c>
      <c r="B1073" s="529"/>
      <c r="C1073" s="202" t="s">
        <v>275</v>
      </c>
      <c r="D1073" s="350"/>
      <c r="E1073" s="409"/>
      <c r="F1073" s="167">
        <f t="shared" si="59"/>
        <v>0</v>
      </c>
    </row>
    <row r="1074" spans="1:6" ht="20.25" hidden="1">
      <c r="A1074" s="206" t="s">
        <v>276</v>
      </c>
      <c r="B1074" s="205"/>
      <c r="C1074" s="202" t="s">
        <v>277</v>
      </c>
      <c r="D1074" s="350"/>
      <c r="E1074" s="409"/>
      <c r="F1074" s="167">
        <f t="shared" si="59"/>
        <v>0</v>
      </c>
    </row>
    <row r="1075" spans="1:6" ht="20.25" hidden="1">
      <c r="A1075" s="219"/>
      <c r="B1075" s="220"/>
      <c r="C1075" s="202">
        <v>81</v>
      </c>
      <c r="D1075" s="350">
        <f>D1117+D1152+D1258+D1339+D1391+D1437+D1480+D1548+D1577+D1610+D1647</f>
        <v>967</v>
      </c>
      <c r="E1075" s="409">
        <f>E1117+E1152+E1258+E1339+E1391+E1437+E1480+E1548+E1577+E1610+E1647</f>
        <v>0</v>
      </c>
      <c r="F1075" s="167">
        <f t="shared" si="59"/>
        <v>967</v>
      </c>
    </row>
    <row r="1076" spans="1:6" ht="20.25" hidden="1">
      <c r="A1076" s="206" t="s">
        <v>278</v>
      </c>
      <c r="B1076" s="220"/>
      <c r="C1076" s="202" t="s">
        <v>279</v>
      </c>
      <c r="D1076" s="350"/>
      <c r="E1076" s="409"/>
      <c r="F1076" s="167">
        <f t="shared" si="59"/>
        <v>0</v>
      </c>
    </row>
    <row r="1077" spans="1:6" ht="20.25" hidden="1">
      <c r="A1077" s="206" t="s">
        <v>629</v>
      </c>
      <c r="B1077" s="220"/>
      <c r="C1077" s="202" t="s">
        <v>602</v>
      </c>
      <c r="D1077" s="350">
        <f>D1119+D1260+D1340+D1392+D1439+D1482+D1550+D1578+D1612+D1648</f>
        <v>0</v>
      </c>
      <c r="E1077" s="409">
        <f>E1119+E1260+E1340+E1392+E1439+E1482+E1550+E1578+E1612+E1648</f>
        <v>0</v>
      </c>
      <c r="F1077" s="167">
        <f t="shared" si="59"/>
        <v>0</v>
      </c>
    </row>
    <row r="1078" spans="1:6" ht="20.25" hidden="1">
      <c r="A1078" s="206"/>
      <c r="B1078" s="220" t="s">
        <v>318</v>
      </c>
      <c r="C1078" s="202">
        <v>85</v>
      </c>
      <c r="D1078" s="350">
        <f>D1120+D1154+D1216+D1262+D1341+D1393+D1440+D1517+D1613</f>
        <v>-395.09000000000003</v>
      </c>
      <c r="E1078" s="409">
        <f>E1120+E1154+E1216+E1262+E1341+E1393+E1440+E1517+E1613</f>
        <v>0</v>
      </c>
      <c r="F1078" s="167">
        <f t="shared" si="59"/>
        <v>-395.09000000000003</v>
      </c>
    </row>
    <row r="1079" spans="1:6" ht="20.25" hidden="1">
      <c r="A1079" s="206"/>
      <c r="B1079" s="220" t="s">
        <v>311</v>
      </c>
      <c r="C1079" s="202" t="s">
        <v>312</v>
      </c>
      <c r="D1079" s="350">
        <f>D1121+D1155+D1217+D1263+D1342+D1394+D1441+D1518+D1614</f>
        <v>-395.09000000000003</v>
      </c>
      <c r="E1079" s="409">
        <f>E1121+E1155+E1217+E1263+E1342+E1394+E1441+E1518+E1614</f>
        <v>0</v>
      </c>
      <c r="F1079" s="167">
        <f t="shared" si="59"/>
        <v>-395.09000000000003</v>
      </c>
    </row>
    <row r="1080" spans="1:6" ht="20.25" hidden="1">
      <c r="A1080" s="215"/>
      <c r="B1080" s="220"/>
      <c r="C1080" s="203">
        <v>90</v>
      </c>
      <c r="D1080" s="350"/>
      <c r="E1080" s="409"/>
      <c r="F1080" s="167">
        <f t="shared" si="59"/>
        <v>0</v>
      </c>
    </row>
    <row r="1081" spans="1:6" ht="20.25" hidden="1">
      <c r="A1081" s="230" t="s">
        <v>637</v>
      </c>
      <c r="B1081" s="475"/>
      <c r="C1081" s="202" t="s">
        <v>280</v>
      </c>
      <c r="D1081" s="350"/>
      <c r="E1081" s="409"/>
      <c r="F1081" s="167">
        <f t="shared" si="59"/>
        <v>0</v>
      </c>
    </row>
    <row r="1082" spans="1:6" ht="20.25" hidden="1">
      <c r="A1082" s="230" t="s">
        <v>90</v>
      </c>
      <c r="B1082" s="475"/>
      <c r="C1082" s="202" t="s">
        <v>91</v>
      </c>
      <c r="D1082" s="350"/>
      <c r="E1082" s="409"/>
      <c r="F1082" s="167">
        <f t="shared" si="59"/>
        <v>0</v>
      </c>
    </row>
    <row r="1083" spans="1:6" ht="20.25" hidden="1">
      <c r="A1083" s="230" t="s">
        <v>281</v>
      </c>
      <c r="B1083" s="475"/>
      <c r="C1083" s="202" t="s">
        <v>282</v>
      </c>
      <c r="D1083" s="350"/>
      <c r="E1083" s="409"/>
      <c r="F1083" s="167">
        <f t="shared" si="59"/>
        <v>0</v>
      </c>
    </row>
    <row r="1084" spans="1:6" ht="20.25" hidden="1">
      <c r="A1084" s="231"/>
      <c r="B1084" s="474"/>
      <c r="C1084" s="202"/>
      <c r="D1084" s="350"/>
      <c r="E1084" s="409"/>
      <c r="F1084" s="167">
        <f t="shared" si="59"/>
        <v>0</v>
      </c>
    </row>
    <row r="1085" spans="1:6" ht="2.25" hidden="1" customHeight="1">
      <c r="A1085" s="385"/>
      <c r="B1085" s="245"/>
      <c r="C1085" s="203" t="s">
        <v>559</v>
      </c>
      <c r="D1085" s="350">
        <f>D1086+D1126+D1163+D1172</f>
        <v>66140.86</v>
      </c>
      <c r="E1085" s="409">
        <f>E1086+E1126+E1163+E1172</f>
        <v>0</v>
      </c>
      <c r="F1085" s="167">
        <f t="shared" si="59"/>
        <v>66140.86</v>
      </c>
    </row>
    <row r="1086" spans="1:6" ht="20.25">
      <c r="A1086" s="232"/>
      <c r="B1086" s="233" t="s">
        <v>92</v>
      </c>
      <c r="C1086" s="202" t="s">
        <v>560</v>
      </c>
      <c r="D1086" s="350">
        <f>D1123</f>
        <v>50422</v>
      </c>
      <c r="E1086" s="409">
        <f>E1123</f>
        <v>0</v>
      </c>
      <c r="F1086" s="167">
        <f t="shared" si="59"/>
        <v>50422</v>
      </c>
    </row>
    <row r="1087" spans="1:6" ht="20.25">
      <c r="A1087" s="234" t="s">
        <v>914</v>
      </c>
      <c r="B1087" s="397"/>
      <c r="C1087" s="235" t="s">
        <v>49</v>
      </c>
      <c r="D1087" s="367">
        <f>D1088+D1089+D1097+D1104+D1106</f>
        <v>50765.120000000003</v>
      </c>
      <c r="E1087" s="414">
        <f>E1088+E1089+E1097+E1104+E1106</f>
        <v>0</v>
      </c>
      <c r="F1087" s="167">
        <f t="shared" si="59"/>
        <v>50765.120000000003</v>
      </c>
    </row>
    <row r="1088" spans="1:6" ht="20.25">
      <c r="A1088" s="221" t="s">
        <v>561</v>
      </c>
      <c r="B1088" s="474"/>
      <c r="C1088" s="235">
        <v>10</v>
      </c>
      <c r="D1088" s="248">
        <f>46890.12-450-180</f>
        <v>46260.12</v>
      </c>
      <c r="E1088" s="214"/>
      <c r="F1088" s="167">
        <f t="shared" si="59"/>
        <v>46260.12</v>
      </c>
    </row>
    <row r="1089" spans="1:6" ht="20.25">
      <c r="A1089" s="236" t="s">
        <v>562</v>
      </c>
      <c r="B1089" s="474"/>
      <c r="C1089" s="224">
        <v>20</v>
      </c>
      <c r="D1089" s="248">
        <f>2923+100+522+180</f>
        <v>3725</v>
      </c>
      <c r="E1089" s="214"/>
      <c r="F1089" s="167">
        <f t="shared" si="59"/>
        <v>3725</v>
      </c>
    </row>
    <row r="1090" spans="1:6" ht="20.25" hidden="1">
      <c r="A1090" s="219" t="s">
        <v>283</v>
      </c>
      <c r="B1090" s="474"/>
      <c r="C1090" s="235" t="s">
        <v>592</v>
      </c>
      <c r="D1090" s="248"/>
      <c r="E1090" s="214"/>
      <c r="F1090" s="167">
        <f t="shared" si="59"/>
        <v>0</v>
      </c>
    </row>
    <row r="1091" spans="1:6" ht="20.25" hidden="1">
      <c r="A1091" s="215"/>
      <c r="B1091" s="474"/>
      <c r="C1091" s="235" t="s">
        <v>56</v>
      </c>
      <c r="D1091" s="248"/>
      <c r="E1091" s="214"/>
      <c r="F1091" s="167">
        <f t="shared" si="59"/>
        <v>0</v>
      </c>
    </row>
    <row r="1092" spans="1:6" ht="20.25" hidden="1">
      <c r="A1092" s="215"/>
      <c r="B1092" s="222" t="s">
        <v>100</v>
      </c>
      <c r="C1092" s="235" t="s">
        <v>58</v>
      </c>
      <c r="D1092" s="248"/>
      <c r="E1092" s="214"/>
      <c r="F1092" s="167">
        <f t="shared" si="59"/>
        <v>0</v>
      </c>
    </row>
    <row r="1093" spans="1:6" ht="20.25" hidden="1">
      <c r="A1093" s="219" t="s">
        <v>284</v>
      </c>
      <c r="B1093" s="218"/>
      <c r="C1093" s="235">
        <v>55</v>
      </c>
      <c r="D1093" s="248"/>
      <c r="E1093" s="214"/>
      <c r="F1093" s="167">
        <f t="shared" si="59"/>
        <v>0</v>
      </c>
    </row>
    <row r="1094" spans="1:6" ht="20.25" hidden="1">
      <c r="A1094" s="221"/>
      <c r="B1094" s="218"/>
      <c r="C1094" s="224" t="s">
        <v>67</v>
      </c>
      <c r="D1094" s="248"/>
      <c r="E1094" s="214"/>
      <c r="F1094" s="167">
        <f t="shared" si="59"/>
        <v>0</v>
      </c>
    </row>
    <row r="1095" spans="1:6" ht="20.25" hidden="1">
      <c r="A1095" s="219"/>
      <c r="B1095" s="220" t="s">
        <v>285</v>
      </c>
      <c r="C1095" s="224" t="s">
        <v>258</v>
      </c>
      <c r="D1095" s="248"/>
      <c r="E1095" s="214"/>
      <c r="F1095" s="167">
        <f t="shared" si="59"/>
        <v>0</v>
      </c>
    </row>
    <row r="1096" spans="1:6" ht="20.25" hidden="1">
      <c r="A1096" s="219"/>
      <c r="B1096" s="218" t="s">
        <v>624</v>
      </c>
      <c r="C1096" s="224" t="s">
        <v>625</v>
      </c>
      <c r="D1096" s="248"/>
      <c r="E1096" s="214"/>
      <c r="F1096" s="167">
        <f t="shared" si="59"/>
        <v>0</v>
      </c>
    </row>
    <row r="1097" spans="1:6" ht="20.25">
      <c r="A1097" s="237" t="s">
        <v>1018</v>
      </c>
      <c r="B1097" s="220"/>
      <c r="C1097" s="235">
        <v>59</v>
      </c>
      <c r="D1097" s="349">
        <f>D1098+D1099</f>
        <v>780</v>
      </c>
      <c r="E1097" s="354">
        <f>E1098+E1099</f>
        <v>0</v>
      </c>
      <c r="F1097" s="339">
        <f>F1098+F1099</f>
        <v>780</v>
      </c>
    </row>
    <row r="1098" spans="1:6" ht="20.25" hidden="1">
      <c r="A1098" s="219"/>
      <c r="B1098" s="239" t="s">
        <v>349</v>
      </c>
      <c r="C1098" s="389" t="s">
        <v>267</v>
      </c>
      <c r="D1098" s="248"/>
      <c r="E1098" s="214"/>
      <c r="F1098" s="167">
        <f t="shared" ref="F1098:F1126" si="60">D1098+E1098</f>
        <v>0</v>
      </c>
    </row>
    <row r="1099" spans="1:6" ht="20.25">
      <c r="A1099" s="219"/>
      <c r="B1099" s="366" t="s">
        <v>884</v>
      </c>
      <c r="C1099" s="389" t="s">
        <v>819</v>
      </c>
      <c r="D1099" s="248">
        <v>780</v>
      </c>
      <c r="E1099" s="214"/>
      <c r="F1099" s="167">
        <f t="shared" si="60"/>
        <v>780</v>
      </c>
    </row>
    <row r="1100" spans="1:6" ht="20.25" hidden="1">
      <c r="A1100" s="238" t="s">
        <v>304</v>
      </c>
      <c r="B1100" s="475"/>
      <c r="C1100" s="224">
        <v>55</v>
      </c>
      <c r="D1100" s="378">
        <f>D1101</f>
        <v>0</v>
      </c>
      <c r="E1100" s="415">
        <f>E1101</f>
        <v>0</v>
      </c>
      <c r="F1100" s="167">
        <f t="shared" si="60"/>
        <v>0</v>
      </c>
    </row>
    <row r="1101" spans="1:6" ht="20.25" hidden="1">
      <c r="A1101" s="238" t="s">
        <v>348</v>
      </c>
      <c r="B1101" s="475"/>
      <c r="C1101" s="224" t="s">
        <v>67</v>
      </c>
      <c r="D1101" s="378">
        <f>D1103</f>
        <v>0</v>
      </c>
      <c r="E1101" s="415">
        <f>E1103</f>
        <v>0</v>
      </c>
      <c r="F1101" s="167">
        <f t="shared" si="60"/>
        <v>0</v>
      </c>
    </row>
    <row r="1102" spans="1:6" ht="20.25" hidden="1">
      <c r="A1102" s="238" t="s">
        <v>624</v>
      </c>
      <c r="B1102" s="475"/>
      <c r="C1102" s="224" t="s">
        <v>625</v>
      </c>
      <c r="D1102" s="248"/>
      <c r="E1102" s="214"/>
      <c r="F1102" s="167">
        <f t="shared" si="60"/>
        <v>0</v>
      </c>
    </row>
    <row r="1103" spans="1:6" ht="20.25" hidden="1">
      <c r="A1103" s="215"/>
      <c r="B1103" s="222" t="s">
        <v>347</v>
      </c>
      <c r="C1103" s="224" t="s">
        <v>329</v>
      </c>
      <c r="D1103" s="248"/>
      <c r="E1103" s="214"/>
      <c r="F1103" s="167">
        <f t="shared" si="60"/>
        <v>0</v>
      </c>
    </row>
    <row r="1104" spans="1:6" ht="20.25" hidden="1">
      <c r="A1104" s="238" t="s">
        <v>316</v>
      </c>
      <c r="B1104" s="475"/>
      <c r="C1104" s="224">
        <v>57</v>
      </c>
      <c r="D1104" s="248"/>
      <c r="E1104" s="214"/>
      <c r="F1104" s="167">
        <f t="shared" si="60"/>
        <v>0</v>
      </c>
    </row>
    <row r="1105" spans="1:6" ht="20.25" hidden="1">
      <c r="A1105" s="219"/>
      <c r="B1105" s="475" t="s">
        <v>308</v>
      </c>
      <c r="C1105" s="224" t="s">
        <v>292</v>
      </c>
      <c r="D1105" s="248"/>
      <c r="E1105" s="214"/>
      <c r="F1105" s="167">
        <f t="shared" si="60"/>
        <v>0</v>
      </c>
    </row>
    <row r="1106" spans="1:6" ht="20.25" hidden="1">
      <c r="A1106" s="215" t="s">
        <v>613</v>
      </c>
      <c r="B1106" s="396"/>
      <c r="C1106" s="235">
        <v>59</v>
      </c>
      <c r="D1106" s="248">
        <f>D1107</f>
        <v>0</v>
      </c>
      <c r="E1106" s="214">
        <f>E1107</f>
        <v>0</v>
      </c>
      <c r="F1106" s="167">
        <f t="shared" si="60"/>
        <v>0</v>
      </c>
    </row>
    <row r="1107" spans="1:6" ht="20.25" hidden="1">
      <c r="A1107" s="219"/>
      <c r="B1107" s="239" t="s">
        <v>349</v>
      </c>
      <c r="C1107" s="224" t="s">
        <v>267</v>
      </c>
      <c r="D1107" s="248"/>
      <c r="E1107" s="214"/>
      <c r="F1107" s="167">
        <f t="shared" si="60"/>
        <v>0</v>
      </c>
    </row>
    <row r="1108" spans="1:6" ht="20.25" hidden="1">
      <c r="A1108" s="240" t="s">
        <v>915</v>
      </c>
      <c r="B1108" s="474"/>
      <c r="C1108" s="224">
        <v>70</v>
      </c>
      <c r="D1108" s="378">
        <f>D1109</f>
        <v>0</v>
      </c>
      <c r="E1108" s="415">
        <f>E1109</f>
        <v>0</v>
      </c>
      <c r="F1108" s="167">
        <f t="shared" si="60"/>
        <v>0</v>
      </c>
    </row>
    <row r="1109" spans="1:6" ht="20.25" hidden="1">
      <c r="A1109" s="226" t="s">
        <v>317</v>
      </c>
      <c r="B1109" s="474"/>
      <c r="C1109" s="224">
        <v>71</v>
      </c>
      <c r="D1109" s="248"/>
      <c r="E1109" s="214"/>
      <c r="F1109" s="167">
        <f t="shared" si="60"/>
        <v>0</v>
      </c>
    </row>
    <row r="1110" spans="1:6" ht="20.25" hidden="1">
      <c r="A1110" s="219" t="s">
        <v>93</v>
      </c>
      <c r="B1110" s="474"/>
      <c r="C1110" s="224" t="s">
        <v>80</v>
      </c>
      <c r="D1110" s="248">
        <f>D1111</f>
        <v>0</v>
      </c>
      <c r="E1110" s="214">
        <f>E1111</f>
        <v>0</v>
      </c>
      <c r="F1110" s="167">
        <f t="shared" si="60"/>
        <v>0</v>
      </c>
    </row>
    <row r="1111" spans="1:6" ht="20.25" hidden="1">
      <c r="A1111" s="219"/>
      <c r="B1111" s="218" t="s">
        <v>81</v>
      </c>
      <c r="C1111" s="241" t="s">
        <v>82</v>
      </c>
      <c r="D1111" s="248"/>
      <c r="E1111" s="214"/>
      <c r="F1111" s="167">
        <f t="shared" si="60"/>
        <v>0</v>
      </c>
    </row>
    <row r="1112" spans="1:6" ht="20.25" hidden="1">
      <c r="A1112" s="219"/>
      <c r="B1112" s="220" t="s">
        <v>83</v>
      </c>
      <c r="C1112" s="241" t="s">
        <v>84</v>
      </c>
      <c r="D1112" s="248"/>
      <c r="E1112" s="214"/>
      <c r="F1112" s="167">
        <f t="shared" si="60"/>
        <v>0</v>
      </c>
    </row>
    <row r="1113" spans="1:6" ht="20.25" hidden="1">
      <c r="A1113" s="219"/>
      <c r="B1113" s="220" t="s">
        <v>94</v>
      </c>
      <c r="C1113" s="241" t="s">
        <v>86</v>
      </c>
      <c r="D1113" s="248"/>
      <c r="E1113" s="214"/>
      <c r="F1113" s="167">
        <f t="shared" si="60"/>
        <v>0</v>
      </c>
    </row>
    <row r="1114" spans="1:6" ht="20.25" hidden="1">
      <c r="A1114" s="219"/>
      <c r="B1114" s="220" t="s">
        <v>87</v>
      </c>
      <c r="C1114" s="241" t="s">
        <v>88</v>
      </c>
      <c r="D1114" s="248"/>
      <c r="E1114" s="214"/>
      <c r="F1114" s="167">
        <f t="shared" si="60"/>
        <v>0</v>
      </c>
    </row>
    <row r="1115" spans="1:6" ht="20.25" hidden="1">
      <c r="A1115" s="526" t="s">
        <v>268</v>
      </c>
      <c r="B1115" s="529"/>
      <c r="C1115" s="241" t="s">
        <v>269</v>
      </c>
      <c r="D1115" s="248"/>
      <c r="E1115" s="214"/>
      <c r="F1115" s="167">
        <f t="shared" si="60"/>
        <v>0</v>
      </c>
    </row>
    <row r="1116" spans="1:6" ht="20.25" hidden="1">
      <c r="A1116" s="215"/>
      <c r="B1116" s="220"/>
      <c r="C1116" s="224">
        <v>79</v>
      </c>
      <c r="D1116" s="248"/>
      <c r="E1116" s="214"/>
      <c r="F1116" s="167">
        <f t="shared" si="60"/>
        <v>0</v>
      </c>
    </row>
    <row r="1117" spans="1:6" ht="20.25" hidden="1">
      <c r="A1117" s="219"/>
      <c r="B1117" s="220"/>
      <c r="C1117" s="224">
        <v>81</v>
      </c>
      <c r="D1117" s="248"/>
      <c r="E1117" s="214"/>
      <c r="F1117" s="167">
        <f t="shared" si="60"/>
        <v>0</v>
      </c>
    </row>
    <row r="1118" spans="1:6" ht="20.25" hidden="1">
      <c r="A1118" s="206" t="s">
        <v>287</v>
      </c>
      <c r="B1118" s="220"/>
      <c r="C1118" s="224" t="s">
        <v>279</v>
      </c>
      <c r="D1118" s="248"/>
      <c r="E1118" s="214"/>
      <c r="F1118" s="167">
        <f t="shared" si="60"/>
        <v>0</v>
      </c>
    </row>
    <row r="1119" spans="1:6" ht="20.25" hidden="1">
      <c r="A1119" s="206" t="s">
        <v>629</v>
      </c>
      <c r="B1119" s="220"/>
      <c r="C1119" s="224" t="s">
        <v>602</v>
      </c>
      <c r="D1119" s="248"/>
      <c r="E1119" s="214"/>
      <c r="F1119" s="167">
        <f t="shared" si="60"/>
        <v>0</v>
      </c>
    </row>
    <row r="1120" spans="1:6" ht="20.25">
      <c r="A1120" s="541" t="s">
        <v>1015</v>
      </c>
      <c r="B1120" s="529"/>
      <c r="C1120" s="224">
        <v>85</v>
      </c>
      <c r="D1120" s="378">
        <f>D1121</f>
        <v>-343.12</v>
      </c>
      <c r="E1120" s="415">
        <f>E1121</f>
        <v>0</v>
      </c>
      <c r="F1120" s="167">
        <f t="shared" si="60"/>
        <v>-343.12</v>
      </c>
    </row>
    <row r="1121" spans="1:6" ht="20.25">
      <c r="A1121" s="206"/>
      <c r="B1121" s="220" t="s">
        <v>311</v>
      </c>
      <c r="C1121" s="224" t="s">
        <v>312</v>
      </c>
      <c r="D1121" s="248">
        <f>-136.12-207</f>
        <v>-343.12</v>
      </c>
      <c r="E1121" s="214"/>
      <c r="F1121" s="167">
        <f t="shared" si="60"/>
        <v>-343.12</v>
      </c>
    </row>
    <row r="1122" spans="1:6" ht="20.25" hidden="1">
      <c r="A1122" s="242"/>
      <c r="B1122" s="243"/>
      <c r="C1122" s="224"/>
      <c r="D1122" s="248"/>
      <c r="E1122" s="214"/>
      <c r="F1122" s="167">
        <f t="shared" si="60"/>
        <v>0</v>
      </c>
    </row>
    <row r="1123" spans="1:6" ht="20.25">
      <c r="A1123" s="244" t="s">
        <v>95</v>
      </c>
      <c r="B1123" s="245"/>
      <c r="C1123" s="224" t="s">
        <v>96</v>
      </c>
      <c r="D1123" s="378">
        <f>D1124</f>
        <v>50422</v>
      </c>
      <c r="E1123" s="415">
        <f>E1124</f>
        <v>0</v>
      </c>
      <c r="F1123" s="167">
        <f t="shared" si="60"/>
        <v>50422</v>
      </c>
    </row>
    <row r="1124" spans="1:6" ht="20.25">
      <c r="A1124" s="244"/>
      <c r="B1124" s="475" t="s">
        <v>97</v>
      </c>
      <c r="C1124" s="224" t="s">
        <v>631</v>
      </c>
      <c r="D1124" s="248">
        <f>50457-450+100+315</f>
        <v>50422</v>
      </c>
      <c r="E1124" s="214"/>
      <c r="F1124" s="167">
        <f t="shared" si="60"/>
        <v>50422</v>
      </c>
    </row>
    <row r="1125" spans="1:6" ht="20.25" hidden="1">
      <c r="A1125" s="246"/>
      <c r="B1125" s="474"/>
      <c r="C1125" s="224"/>
      <c r="D1125" s="248"/>
      <c r="E1125" s="214"/>
      <c r="F1125" s="167">
        <f t="shared" si="60"/>
        <v>0</v>
      </c>
    </row>
    <row r="1126" spans="1:6" ht="20.25">
      <c r="A1126" s="206"/>
      <c r="B1126" s="209" t="s">
        <v>98</v>
      </c>
      <c r="C1126" s="202" t="s">
        <v>563</v>
      </c>
      <c r="D1126" s="350">
        <f>D1157+D1158+D1159+D1160+D1161</f>
        <v>3646.86</v>
      </c>
      <c r="E1126" s="409">
        <f>E1157+E1158+E1159+E1160+E1161</f>
        <v>0</v>
      </c>
      <c r="F1126" s="167">
        <f t="shared" si="60"/>
        <v>3646.86</v>
      </c>
    </row>
    <row r="1127" spans="1:6" ht="20.25">
      <c r="A1127" s="247" t="s">
        <v>99</v>
      </c>
      <c r="B1127" s="474"/>
      <c r="C1127" s="235" t="s">
        <v>49</v>
      </c>
      <c r="D1127" s="367">
        <f>D1128+D1129+D1130+D1132+D1136+D1142</f>
        <v>3649</v>
      </c>
      <c r="E1127" s="414">
        <f>E1128+E1129+E1130+E1132+E1136+E1142</f>
        <v>0</v>
      </c>
      <c r="F1127" s="306">
        <f>F1128+F1129+F1130+F1132+F1136+F1142</f>
        <v>3649</v>
      </c>
    </row>
    <row r="1128" spans="1:6" ht="20.25">
      <c r="A1128" s="204" t="s">
        <v>561</v>
      </c>
      <c r="B1128" s="474"/>
      <c r="C1128" s="235">
        <v>10</v>
      </c>
      <c r="D1128" s="248">
        <v>3249</v>
      </c>
      <c r="E1128" s="214"/>
      <c r="F1128" s="167">
        <f t="shared" ref="F1128:F1159" si="61">D1128+E1128</f>
        <v>3249</v>
      </c>
    </row>
    <row r="1129" spans="1:6" ht="20.25">
      <c r="A1129" s="206" t="s">
        <v>562</v>
      </c>
      <c r="B1129" s="474"/>
      <c r="C1129" s="224">
        <v>20</v>
      </c>
      <c r="D1129" s="248">
        <f>300+40+60</f>
        <v>400</v>
      </c>
      <c r="E1129" s="214"/>
      <c r="F1129" s="167">
        <f t="shared" si="61"/>
        <v>400</v>
      </c>
    </row>
    <row r="1130" spans="1:6" ht="20.25" hidden="1">
      <c r="A1130" s="237" t="s">
        <v>245</v>
      </c>
      <c r="B1130" s="474"/>
      <c r="C1130" s="224">
        <v>50</v>
      </c>
      <c r="D1130" s="248"/>
      <c r="E1130" s="214">
        <f>E1131</f>
        <v>0</v>
      </c>
      <c r="F1130" s="167">
        <f t="shared" si="61"/>
        <v>0</v>
      </c>
    </row>
    <row r="1131" spans="1:6" ht="20.25" hidden="1">
      <c r="A1131" s="215"/>
      <c r="B1131" s="474" t="s">
        <v>363</v>
      </c>
      <c r="C1131" s="224" t="s">
        <v>247</v>
      </c>
      <c r="D1131" s="248"/>
      <c r="E1131" s="214"/>
      <c r="F1131" s="167">
        <f t="shared" si="61"/>
        <v>0</v>
      </c>
    </row>
    <row r="1132" spans="1:6" ht="20.25" hidden="1">
      <c r="A1132" s="219" t="s">
        <v>54</v>
      </c>
      <c r="B1132" s="474"/>
      <c r="C1132" s="235" t="s">
        <v>592</v>
      </c>
      <c r="D1132" s="248"/>
      <c r="E1132" s="214"/>
      <c r="F1132" s="167">
        <f t="shared" si="61"/>
        <v>0</v>
      </c>
    </row>
    <row r="1133" spans="1:6" ht="20.25" hidden="1">
      <c r="A1133" s="219" t="s">
        <v>55</v>
      </c>
      <c r="B1133" s="474"/>
      <c r="C1133" s="235" t="s">
        <v>56</v>
      </c>
      <c r="D1133" s="248"/>
      <c r="E1133" s="214"/>
      <c r="F1133" s="167">
        <f t="shared" si="61"/>
        <v>0</v>
      </c>
    </row>
    <row r="1134" spans="1:6" ht="20.25" hidden="1">
      <c r="A1134" s="215"/>
      <c r="B1134" s="222" t="s">
        <v>100</v>
      </c>
      <c r="C1134" s="235" t="s">
        <v>58</v>
      </c>
      <c r="D1134" s="248"/>
      <c r="E1134" s="214"/>
      <c r="F1134" s="167">
        <f t="shared" si="61"/>
        <v>0</v>
      </c>
    </row>
    <row r="1135" spans="1:6" ht="54" hidden="1">
      <c r="A1135" s="215"/>
      <c r="B1135" s="222" t="s">
        <v>361</v>
      </c>
      <c r="C1135" s="224" t="s">
        <v>254</v>
      </c>
      <c r="D1135" s="248"/>
      <c r="E1135" s="214"/>
      <c r="F1135" s="167">
        <f t="shared" si="61"/>
        <v>0</v>
      </c>
    </row>
    <row r="1136" spans="1:6" ht="20.25" hidden="1">
      <c r="A1136" s="215"/>
      <c r="B1136" s="460"/>
      <c r="C1136" s="235">
        <v>55</v>
      </c>
      <c r="D1136" s="248"/>
      <c r="E1136" s="214"/>
      <c r="F1136" s="167">
        <f t="shared" si="61"/>
        <v>0</v>
      </c>
    </row>
    <row r="1137" spans="1:6" ht="20.25" hidden="1">
      <c r="A1137" s="219" t="s">
        <v>160</v>
      </c>
      <c r="B1137" s="460"/>
      <c r="C1137" s="224" t="s">
        <v>67</v>
      </c>
      <c r="D1137" s="248"/>
      <c r="E1137" s="214"/>
      <c r="F1137" s="167">
        <f t="shared" si="61"/>
        <v>0</v>
      </c>
    </row>
    <row r="1138" spans="1:6" ht="20.25" hidden="1">
      <c r="A1138" s="219"/>
      <c r="B1138" s="220" t="s">
        <v>362</v>
      </c>
      <c r="C1138" s="224" t="s">
        <v>256</v>
      </c>
      <c r="D1138" s="248"/>
      <c r="E1138" s="214"/>
      <c r="F1138" s="167">
        <f t="shared" si="61"/>
        <v>0</v>
      </c>
    </row>
    <row r="1139" spans="1:6" ht="20.25" hidden="1">
      <c r="A1139" s="219"/>
      <c r="B1139" s="220" t="s">
        <v>285</v>
      </c>
      <c r="C1139" s="224" t="s">
        <v>258</v>
      </c>
      <c r="D1139" s="248"/>
      <c r="E1139" s="214"/>
      <c r="F1139" s="167">
        <f t="shared" si="61"/>
        <v>0</v>
      </c>
    </row>
    <row r="1140" spans="1:6" ht="20.25" hidden="1">
      <c r="A1140" s="223"/>
      <c r="B1140" s="220" t="s">
        <v>259</v>
      </c>
      <c r="C1140" s="224" t="s">
        <v>260</v>
      </c>
      <c r="D1140" s="248"/>
      <c r="E1140" s="214"/>
      <c r="F1140" s="167">
        <f t="shared" si="61"/>
        <v>0</v>
      </c>
    </row>
    <row r="1141" spans="1:6" ht="20.25" hidden="1">
      <c r="A1141" s="223"/>
      <c r="B1141" s="218" t="s">
        <v>624</v>
      </c>
      <c r="C1141" s="224" t="s">
        <v>625</v>
      </c>
      <c r="D1141" s="248"/>
      <c r="E1141" s="214"/>
      <c r="F1141" s="167">
        <f t="shared" si="61"/>
        <v>0</v>
      </c>
    </row>
    <row r="1142" spans="1:6" ht="20.25" hidden="1">
      <c r="A1142" s="237" t="s">
        <v>1018</v>
      </c>
      <c r="B1142" s="205"/>
      <c r="C1142" s="235">
        <v>59</v>
      </c>
      <c r="D1142" s="248"/>
      <c r="E1142" s="214"/>
      <c r="F1142" s="167">
        <f t="shared" si="61"/>
        <v>0</v>
      </c>
    </row>
    <row r="1143" spans="1:6" ht="20.25" hidden="1">
      <c r="A1143" s="231"/>
      <c r="B1143" s="474"/>
      <c r="C1143" s="224">
        <v>70</v>
      </c>
      <c r="D1143" s="248"/>
      <c r="E1143" s="214"/>
      <c r="F1143" s="167">
        <f t="shared" si="61"/>
        <v>0</v>
      </c>
    </row>
    <row r="1144" spans="1:6" ht="20.25" hidden="1">
      <c r="A1144" s="238"/>
      <c r="B1144" s="474"/>
      <c r="C1144" s="224">
        <v>71</v>
      </c>
      <c r="D1144" s="248"/>
      <c r="E1144" s="214"/>
      <c r="F1144" s="167">
        <f t="shared" si="61"/>
        <v>0</v>
      </c>
    </row>
    <row r="1145" spans="1:6" ht="20.25" hidden="1">
      <c r="A1145" s="219" t="s">
        <v>110</v>
      </c>
      <c r="B1145" s="474"/>
      <c r="C1145" s="224" t="s">
        <v>80</v>
      </c>
      <c r="D1145" s="248"/>
      <c r="E1145" s="214"/>
      <c r="F1145" s="167">
        <f t="shared" si="61"/>
        <v>0</v>
      </c>
    </row>
    <row r="1146" spans="1:6" ht="20.25" hidden="1">
      <c r="A1146" s="219"/>
      <c r="B1146" s="218" t="s">
        <v>81</v>
      </c>
      <c r="C1146" s="241" t="s">
        <v>82</v>
      </c>
      <c r="D1146" s="248"/>
      <c r="E1146" s="214"/>
      <c r="F1146" s="167">
        <f t="shared" si="61"/>
        <v>0</v>
      </c>
    </row>
    <row r="1147" spans="1:6" ht="20.25" hidden="1">
      <c r="A1147" s="219"/>
      <c r="B1147" s="220" t="s">
        <v>83</v>
      </c>
      <c r="C1147" s="241" t="s">
        <v>84</v>
      </c>
      <c r="D1147" s="248"/>
      <c r="E1147" s="214"/>
      <c r="F1147" s="167">
        <f t="shared" si="61"/>
        <v>0</v>
      </c>
    </row>
    <row r="1148" spans="1:6" ht="20.25" hidden="1">
      <c r="A1148" s="219"/>
      <c r="B1148" s="220" t="s">
        <v>94</v>
      </c>
      <c r="C1148" s="241" t="s">
        <v>86</v>
      </c>
      <c r="D1148" s="248"/>
      <c r="E1148" s="214"/>
      <c r="F1148" s="167">
        <f t="shared" si="61"/>
        <v>0</v>
      </c>
    </row>
    <row r="1149" spans="1:6" ht="20.25" hidden="1">
      <c r="A1149" s="219"/>
      <c r="B1149" s="220" t="s">
        <v>87</v>
      </c>
      <c r="C1149" s="241" t="s">
        <v>88</v>
      </c>
      <c r="D1149" s="248"/>
      <c r="E1149" s="214"/>
      <c r="F1149" s="167">
        <f t="shared" si="61"/>
        <v>0</v>
      </c>
    </row>
    <row r="1150" spans="1:6" ht="20.25" hidden="1">
      <c r="A1150" s="526" t="s">
        <v>268</v>
      </c>
      <c r="B1150" s="529"/>
      <c r="C1150" s="241" t="s">
        <v>269</v>
      </c>
      <c r="D1150" s="248"/>
      <c r="E1150" s="214"/>
      <c r="F1150" s="167">
        <f t="shared" si="61"/>
        <v>0</v>
      </c>
    </row>
    <row r="1151" spans="1:6" ht="20.25" hidden="1">
      <c r="A1151" s="215"/>
      <c r="B1151" s="220"/>
      <c r="C1151" s="224">
        <v>79</v>
      </c>
      <c r="D1151" s="248"/>
      <c r="E1151" s="214"/>
      <c r="F1151" s="167">
        <f t="shared" si="61"/>
        <v>0</v>
      </c>
    </row>
    <row r="1152" spans="1:6" ht="20.25" hidden="1">
      <c r="A1152" s="219"/>
      <c r="B1152" s="220"/>
      <c r="C1152" s="224">
        <v>81</v>
      </c>
      <c r="D1152" s="248"/>
      <c r="E1152" s="214"/>
      <c r="F1152" s="167">
        <f t="shared" si="61"/>
        <v>0</v>
      </c>
    </row>
    <row r="1153" spans="1:6" ht="20.25" hidden="1">
      <c r="A1153" s="206" t="s">
        <v>287</v>
      </c>
      <c r="B1153" s="220"/>
      <c r="C1153" s="224" t="s">
        <v>279</v>
      </c>
      <c r="D1153" s="248"/>
      <c r="E1153" s="214"/>
      <c r="F1153" s="167">
        <f t="shared" si="61"/>
        <v>0</v>
      </c>
    </row>
    <row r="1154" spans="1:6" ht="20.25">
      <c r="A1154" s="206"/>
      <c r="B1154" s="220" t="s">
        <v>318</v>
      </c>
      <c r="C1154" s="224">
        <v>85</v>
      </c>
      <c r="D1154" s="248">
        <f>D1155</f>
        <v>-2.14</v>
      </c>
      <c r="E1154" s="214">
        <f>E1155</f>
        <v>0</v>
      </c>
      <c r="F1154" s="167">
        <f t="shared" si="61"/>
        <v>-2.14</v>
      </c>
    </row>
    <row r="1155" spans="1:6" ht="20.25">
      <c r="A1155" s="206"/>
      <c r="B1155" s="220" t="s">
        <v>311</v>
      </c>
      <c r="C1155" s="224" t="s">
        <v>312</v>
      </c>
      <c r="D1155" s="248">
        <v>-2.14</v>
      </c>
      <c r="E1155" s="214"/>
      <c r="F1155" s="167">
        <f t="shared" si="61"/>
        <v>-2.14</v>
      </c>
    </row>
    <row r="1156" spans="1:6" ht="20.25" hidden="1">
      <c r="A1156" s="242"/>
      <c r="B1156" s="243"/>
      <c r="C1156" s="224"/>
      <c r="D1156" s="248"/>
      <c r="E1156" s="214"/>
      <c r="F1156" s="167">
        <f t="shared" si="61"/>
        <v>0</v>
      </c>
    </row>
    <row r="1157" spans="1:6" ht="20.25" hidden="1">
      <c r="A1157" s="249" t="s">
        <v>363</v>
      </c>
      <c r="B1157" s="245"/>
      <c r="C1157" s="224" t="s">
        <v>364</v>
      </c>
      <c r="D1157" s="248"/>
      <c r="E1157" s="214"/>
      <c r="F1157" s="167">
        <f t="shared" si="61"/>
        <v>0</v>
      </c>
    </row>
    <row r="1158" spans="1:6" ht="20.25" hidden="1">
      <c r="A1158" s="236" t="s">
        <v>365</v>
      </c>
      <c r="B1158" s="245"/>
      <c r="C1158" s="224" t="s">
        <v>366</v>
      </c>
      <c r="D1158" s="248"/>
      <c r="E1158" s="214"/>
      <c r="F1158" s="167">
        <f t="shared" si="61"/>
        <v>0</v>
      </c>
    </row>
    <row r="1159" spans="1:6" ht="20.25" hidden="1">
      <c r="A1159" s="537" t="s">
        <v>367</v>
      </c>
      <c r="B1159" s="529"/>
      <c r="C1159" s="224" t="s">
        <v>368</v>
      </c>
      <c r="D1159" s="248"/>
      <c r="E1159" s="214"/>
      <c r="F1159" s="167">
        <f t="shared" si="61"/>
        <v>0</v>
      </c>
    </row>
    <row r="1160" spans="1:6" ht="20.25">
      <c r="A1160" s="236" t="s">
        <v>564</v>
      </c>
      <c r="B1160" s="245"/>
      <c r="C1160" s="224" t="s">
        <v>565</v>
      </c>
      <c r="D1160" s="248">
        <f>3449-2.14+40-10+64.5</f>
        <v>3541.36</v>
      </c>
      <c r="E1160" s="214"/>
      <c r="F1160" s="167">
        <f t="shared" ref="F1160:F1191" si="62">D1160+E1160</f>
        <v>3541.36</v>
      </c>
    </row>
    <row r="1161" spans="1:6" ht="20.25">
      <c r="A1161" s="244" t="s">
        <v>369</v>
      </c>
      <c r="B1161" s="218"/>
      <c r="C1161" s="224" t="s">
        <v>370</v>
      </c>
      <c r="D1161" s="248">
        <f>60+50-4.5</f>
        <v>105.5</v>
      </c>
      <c r="E1161" s="214"/>
      <c r="F1161" s="167">
        <f t="shared" si="62"/>
        <v>105.5</v>
      </c>
    </row>
    <row r="1162" spans="1:6" ht="20.25" hidden="1">
      <c r="A1162" s="250"/>
      <c r="B1162" s="243"/>
      <c r="C1162" s="224"/>
      <c r="D1162" s="248"/>
      <c r="E1162" s="214"/>
      <c r="F1162" s="167">
        <f t="shared" si="62"/>
        <v>0</v>
      </c>
    </row>
    <row r="1163" spans="1:6" ht="20.25">
      <c r="A1163" s="251"/>
      <c r="B1163" s="252" t="s">
        <v>101</v>
      </c>
      <c r="C1163" s="202" t="s">
        <v>566</v>
      </c>
      <c r="D1163" s="350">
        <f>D1164</f>
        <v>12072</v>
      </c>
      <c r="E1163" s="409">
        <f>E1164</f>
        <v>0</v>
      </c>
      <c r="F1163" s="167">
        <f t="shared" si="62"/>
        <v>12072</v>
      </c>
    </row>
    <row r="1164" spans="1:6" ht="20.25">
      <c r="A1164" s="253" t="s">
        <v>916</v>
      </c>
      <c r="B1164" s="245"/>
      <c r="C1164" s="235" t="s">
        <v>49</v>
      </c>
      <c r="D1164" s="367">
        <f>D1165+D1167</f>
        <v>12072</v>
      </c>
      <c r="E1164" s="414">
        <f>E1165+E1167</f>
        <v>0</v>
      </c>
      <c r="F1164" s="167">
        <f t="shared" si="62"/>
        <v>12072</v>
      </c>
    </row>
    <row r="1165" spans="1:6" ht="20.25">
      <c r="A1165" s="206" t="s">
        <v>371</v>
      </c>
      <c r="B1165" s="474"/>
      <c r="C1165" s="224">
        <v>20</v>
      </c>
      <c r="D1165" s="248">
        <f>D1166</f>
        <v>4</v>
      </c>
      <c r="E1165" s="214"/>
      <c r="F1165" s="167">
        <f t="shared" si="62"/>
        <v>4</v>
      </c>
    </row>
    <row r="1166" spans="1:6" ht="20.25">
      <c r="A1166" s="253"/>
      <c r="B1166" s="475" t="s">
        <v>1067</v>
      </c>
      <c r="C1166" s="224" t="s">
        <v>241</v>
      </c>
      <c r="D1166" s="248">
        <v>4</v>
      </c>
      <c r="E1166" s="214"/>
      <c r="F1166" s="167">
        <f t="shared" si="62"/>
        <v>4</v>
      </c>
    </row>
    <row r="1167" spans="1:6" ht="20.25">
      <c r="A1167" s="253" t="s">
        <v>615</v>
      </c>
      <c r="B1167" s="245"/>
      <c r="C1167" s="235">
        <v>30</v>
      </c>
      <c r="D1167" s="367">
        <f>D1168+D1169+D1170</f>
        <v>12068</v>
      </c>
      <c r="E1167" s="414">
        <f>E1168+E1169+E1170</f>
        <v>0</v>
      </c>
      <c r="F1167" s="167">
        <f t="shared" si="62"/>
        <v>12068</v>
      </c>
    </row>
    <row r="1168" spans="1:6" ht="20.25">
      <c r="A1168" s="206" t="s">
        <v>102</v>
      </c>
      <c r="B1168" s="474"/>
      <c r="C1168" s="254" t="s">
        <v>51</v>
      </c>
      <c r="D1168" s="248">
        <f>7850-1653+2304+3567</f>
        <v>12068</v>
      </c>
      <c r="E1168" s="214"/>
      <c r="F1168" s="167">
        <f t="shared" si="62"/>
        <v>12068</v>
      </c>
    </row>
    <row r="1169" spans="1:6" ht="20.25" hidden="1">
      <c r="A1169" s="206" t="s">
        <v>372</v>
      </c>
      <c r="B1169" s="474"/>
      <c r="C1169" s="235" t="s">
        <v>513</v>
      </c>
      <c r="D1169" s="248"/>
      <c r="E1169" s="214"/>
      <c r="F1169" s="167">
        <f t="shared" si="62"/>
        <v>0</v>
      </c>
    </row>
    <row r="1170" spans="1:6" ht="20.25" hidden="1">
      <c r="A1170" s="216" t="s">
        <v>373</v>
      </c>
      <c r="B1170" s="474"/>
      <c r="C1170" s="235" t="s">
        <v>244</v>
      </c>
      <c r="D1170" s="248"/>
      <c r="E1170" s="214"/>
      <c r="F1170" s="167">
        <f t="shared" si="62"/>
        <v>0</v>
      </c>
    </row>
    <row r="1171" spans="1:6" ht="20.25" hidden="1">
      <c r="A1171" s="216"/>
      <c r="B1171" s="474"/>
      <c r="C1171" s="235"/>
      <c r="D1171" s="248"/>
      <c r="E1171" s="214"/>
      <c r="F1171" s="167">
        <f t="shared" si="62"/>
        <v>0</v>
      </c>
    </row>
    <row r="1172" spans="1:6" ht="20.25" hidden="1">
      <c r="A1172" s="255"/>
      <c r="B1172" s="256" t="s">
        <v>103</v>
      </c>
      <c r="C1172" s="202" t="s">
        <v>104</v>
      </c>
      <c r="D1172" s="248"/>
      <c r="E1172" s="214"/>
      <c r="F1172" s="167">
        <f t="shared" si="62"/>
        <v>0</v>
      </c>
    </row>
    <row r="1173" spans="1:6" ht="20.25" hidden="1">
      <c r="A1173" s="247" t="s">
        <v>916</v>
      </c>
      <c r="B1173" s="474"/>
      <c r="C1173" s="235" t="s">
        <v>49</v>
      </c>
      <c r="D1173" s="248"/>
      <c r="E1173" s="214"/>
      <c r="F1173" s="167">
        <f t="shared" si="62"/>
        <v>0</v>
      </c>
    </row>
    <row r="1174" spans="1:6" ht="20.25" hidden="1">
      <c r="A1174" s="219" t="s">
        <v>54</v>
      </c>
      <c r="B1174" s="474"/>
      <c r="C1174" s="235" t="s">
        <v>592</v>
      </c>
      <c r="D1174" s="248"/>
      <c r="E1174" s="214"/>
      <c r="F1174" s="167">
        <f t="shared" si="62"/>
        <v>0</v>
      </c>
    </row>
    <row r="1175" spans="1:6" ht="20.25" hidden="1">
      <c r="A1175" s="219"/>
      <c r="B1175" s="474" t="s">
        <v>55</v>
      </c>
      <c r="C1175" s="224" t="s">
        <v>56</v>
      </c>
      <c r="D1175" s="248"/>
      <c r="E1175" s="214"/>
      <c r="F1175" s="167">
        <f t="shared" si="62"/>
        <v>0</v>
      </c>
    </row>
    <row r="1176" spans="1:6" ht="36" hidden="1">
      <c r="A1176" s="257"/>
      <c r="B1176" s="222" t="s">
        <v>374</v>
      </c>
      <c r="C1176" s="224" t="s">
        <v>249</v>
      </c>
      <c r="D1176" s="248"/>
      <c r="E1176" s="214"/>
      <c r="F1176" s="167">
        <f t="shared" si="62"/>
        <v>0</v>
      </c>
    </row>
    <row r="1177" spans="1:6" ht="36" hidden="1">
      <c r="A1177" s="257"/>
      <c r="B1177" s="222" t="s">
        <v>375</v>
      </c>
      <c r="C1177" s="224" t="s">
        <v>251</v>
      </c>
      <c r="D1177" s="248"/>
      <c r="E1177" s="214"/>
      <c r="F1177" s="167">
        <f t="shared" si="62"/>
        <v>0</v>
      </c>
    </row>
    <row r="1178" spans="1:6" ht="36" hidden="1">
      <c r="A1178" s="257"/>
      <c r="B1178" s="220" t="s">
        <v>106</v>
      </c>
      <c r="C1178" s="224" t="s">
        <v>62</v>
      </c>
      <c r="D1178" s="248"/>
      <c r="E1178" s="214"/>
      <c r="F1178" s="167">
        <f t="shared" si="62"/>
        <v>0</v>
      </c>
    </row>
    <row r="1179" spans="1:6" ht="20.25" hidden="1">
      <c r="A1179" s="242"/>
      <c r="B1179" s="243"/>
      <c r="C1179" s="224"/>
      <c r="D1179" s="248"/>
      <c r="E1179" s="214"/>
      <c r="F1179" s="167">
        <f t="shared" si="62"/>
        <v>0</v>
      </c>
    </row>
    <row r="1180" spans="1:6" ht="37.5" hidden="1" customHeight="1">
      <c r="A1180" s="537" t="s">
        <v>376</v>
      </c>
      <c r="B1180" s="529"/>
      <c r="C1180" s="224" t="s">
        <v>377</v>
      </c>
      <c r="D1180" s="248"/>
      <c r="E1180" s="214"/>
      <c r="F1180" s="167">
        <f t="shared" si="62"/>
        <v>0</v>
      </c>
    </row>
    <row r="1181" spans="1:6" ht="40.5" hidden="1" customHeight="1">
      <c r="A1181" s="537" t="s">
        <v>378</v>
      </c>
      <c r="B1181" s="529"/>
      <c r="C1181" s="224" t="s">
        <v>379</v>
      </c>
      <c r="D1181" s="248"/>
      <c r="E1181" s="214"/>
      <c r="F1181" s="167">
        <f t="shared" si="62"/>
        <v>0</v>
      </c>
    </row>
    <row r="1182" spans="1:6" ht="36.75" hidden="1" customHeight="1">
      <c r="A1182" s="537" t="s">
        <v>107</v>
      </c>
      <c r="B1182" s="529"/>
      <c r="C1182" s="224" t="s">
        <v>634</v>
      </c>
      <c r="D1182" s="248"/>
      <c r="E1182" s="214"/>
      <c r="F1182" s="167">
        <f t="shared" si="62"/>
        <v>0</v>
      </c>
    </row>
    <row r="1183" spans="1:6" ht="20.25" hidden="1">
      <c r="A1183" s="246"/>
      <c r="B1183" s="474"/>
      <c r="C1183" s="224"/>
      <c r="D1183" s="248"/>
      <c r="E1183" s="214"/>
      <c r="F1183" s="167">
        <f t="shared" si="62"/>
        <v>0</v>
      </c>
    </row>
    <row r="1184" spans="1:6" ht="20.25" hidden="1">
      <c r="A1184" s="258"/>
      <c r="B1184" s="217"/>
      <c r="C1184" s="224" t="s">
        <v>108</v>
      </c>
      <c r="D1184" s="248"/>
      <c r="E1184" s="214"/>
      <c r="F1184" s="167">
        <f t="shared" si="62"/>
        <v>0</v>
      </c>
    </row>
    <row r="1185" spans="1:6" ht="20.25" hidden="1">
      <c r="A1185" s="255"/>
      <c r="B1185" s="259"/>
      <c r="C1185" s="224" t="s">
        <v>380</v>
      </c>
      <c r="D1185" s="248"/>
      <c r="E1185" s="214"/>
      <c r="F1185" s="167">
        <f t="shared" si="62"/>
        <v>0</v>
      </c>
    </row>
    <row r="1186" spans="1:6" ht="20.25" hidden="1">
      <c r="A1186" s="231"/>
      <c r="B1186" s="474"/>
      <c r="C1186" s="235" t="s">
        <v>49</v>
      </c>
      <c r="D1186" s="248"/>
      <c r="E1186" s="214"/>
      <c r="F1186" s="167">
        <f t="shared" si="62"/>
        <v>0</v>
      </c>
    </row>
    <row r="1187" spans="1:6" ht="20.25" hidden="1">
      <c r="A1187" s="246"/>
      <c r="B1187" s="474"/>
      <c r="C1187" s="235">
        <v>10</v>
      </c>
      <c r="D1187" s="248"/>
      <c r="E1187" s="214"/>
      <c r="F1187" s="167">
        <f t="shared" si="62"/>
        <v>0</v>
      </c>
    </row>
    <row r="1188" spans="1:6" ht="20.25" hidden="1">
      <c r="A1188" s="246"/>
      <c r="B1188" s="474"/>
      <c r="C1188" s="224">
        <v>20</v>
      </c>
      <c r="D1188" s="248"/>
      <c r="E1188" s="214"/>
      <c r="F1188" s="167">
        <f t="shared" si="62"/>
        <v>0</v>
      </c>
    </row>
    <row r="1189" spans="1:6" ht="20.25" hidden="1">
      <c r="A1189" s="231"/>
      <c r="B1189" s="474"/>
      <c r="C1189" s="224">
        <v>70</v>
      </c>
      <c r="D1189" s="248"/>
      <c r="E1189" s="214"/>
      <c r="F1189" s="167">
        <f t="shared" si="62"/>
        <v>0</v>
      </c>
    </row>
    <row r="1190" spans="1:6" ht="20.25" hidden="1">
      <c r="A1190" s="238"/>
      <c r="B1190" s="474"/>
      <c r="C1190" s="224">
        <v>71</v>
      </c>
      <c r="D1190" s="248"/>
      <c r="E1190" s="214"/>
      <c r="F1190" s="167">
        <f t="shared" si="62"/>
        <v>0</v>
      </c>
    </row>
    <row r="1191" spans="1:6" ht="20.25" hidden="1">
      <c r="A1191" s="219" t="s">
        <v>110</v>
      </c>
      <c r="B1191" s="474"/>
      <c r="C1191" s="224" t="s">
        <v>80</v>
      </c>
      <c r="D1191" s="248"/>
      <c r="E1191" s="214"/>
      <c r="F1191" s="167">
        <f t="shared" si="62"/>
        <v>0</v>
      </c>
    </row>
    <row r="1192" spans="1:6" ht="20.25" hidden="1">
      <c r="A1192" s="219"/>
      <c r="B1192" s="218" t="s">
        <v>81</v>
      </c>
      <c r="C1192" s="241" t="s">
        <v>82</v>
      </c>
      <c r="D1192" s="248"/>
      <c r="E1192" s="214"/>
      <c r="F1192" s="167">
        <f t="shared" ref="F1192:F1223" si="63">D1192+E1192</f>
        <v>0</v>
      </c>
    </row>
    <row r="1193" spans="1:6" ht="20.25" hidden="1">
      <c r="A1193" s="219"/>
      <c r="B1193" s="220" t="s">
        <v>83</v>
      </c>
      <c r="C1193" s="241" t="s">
        <v>84</v>
      </c>
      <c r="D1193" s="248"/>
      <c r="E1193" s="214"/>
      <c r="F1193" s="167">
        <f t="shared" si="63"/>
        <v>0</v>
      </c>
    </row>
    <row r="1194" spans="1:6" ht="20.25" hidden="1">
      <c r="A1194" s="219"/>
      <c r="B1194" s="220" t="s">
        <v>94</v>
      </c>
      <c r="C1194" s="241" t="s">
        <v>86</v>
      </c>
      <c r="D1194" s="248"/>
      <c r="E1194" s="214"/>
      <c r="F1194" s="167">
        <f t="shared" si="63"/>
        <v>0</v>
      </c>
    </row>
    <row r="1195" spans="1:6" ht="20.25" hidden="1">
      <c r="A1195" s="219"/>
      <c r="B1195" s="220" t="s">
        <v>87</v>
      </c>
      <c r="C1195" s="241" t="s">
        <v>88</v>
      </c>
      <c r="D1195" s="248"/>
      <c r="E1195" s="214"/>
      <c r="F1195" s="167">
        <f t="shared" si="63"/>
        <v>0</v>
      </c>
    </row>
    <row r="1196" spans="1:6" ht="20.25" hidden="1">
      <c r="A1196" s="526" t="s">
        <v>268</v>
      </c>
      <c r="B1196" s="529"/>
      <c r="C1196" s="241" t="s">
        <v>269</v>
      </c>
      <c r="D1196" s="248"/>
      <c r="E1196" s="214"/>
      <c r="F1196" s="167">
        <f t="shared" si="63"/>
        <v>0</v>
      </c>
    </row>
    <row r="1197" spans="1:6" ht="20.25" hidden="1">
      <c r="A1197" s="242"/>
      <c r="B1197" s="243"/>
      <c r="C1197" s="224"/>
      <c r="D1197" s="248"/>
      <c r="E1197" s="214"/>
      <c r="F1197" s="167">
        <f t="shared" si="63"/>
        <v>0</v>
      </c>
    </row>
    <row r="1198" spans="1:6" ht="20.25" hidden="1">
      <c r="A1198" s="244" t="s">
        <v>381</v>
      </c>
      <c r="B1198" s="245"/>
      <c r="C1198" s="224" t="s">
        <v>382</v>
      </c>
      <c r="D1198" s="248"/>
      <c r="E1198" s="214"/>
      <c r="F1198" s="167">
        <f t="shared" si="63"/>
        <v>0</v>
      </c>
    </row>
    <row r="1199" spans="1:6" ht="20.25" hidden="1">
      <c r="A1199" s="246"/>
      <c r="B1199" s="474"/>
      <c r="C1199" s="224"/>
      <c r="D1199" s="248"/>
      <c r="E1199" s="214"/>
      <c r="F1199" s="167">
        <f t="shared" si="63"/>
        <v>0</v>
      </c>
    </row>
    <row r="1200" spans="1:6" ht="20.25">
      <c r="A1200" s="255"/>
      <c r="B1200" s="260" t="s">
        <v>109</v>
      </c>
      <c r="C1200" s="202" t="s">
        <v>567</v>
      </c>
      <c r="D1200" s="350">
        <f>D1219+D1221+D1222</f>
        <v>16883.21</v>
      </c>
      <c r="E1200" s="409">
        <f>E1219+E1221+E1222</f>
        <v>0</v>
      </c>
      <c r="F1200" s="167">
        <f t="shared" si="63"/>
        <v>16883.21</v>
      </c>
    </row>
    <row r="1201" spans="1:6" ht="20.25">
      <c r="A1201" s="219" t="s">
        <v>917</v>
      </c>
      <c r="B1201" s="474"/>
      <c r="C1201" s="235" t="s">
        <v>49</v>
      </c>
      <c r="D1201" s="367">
        <f>D1202+D1203+D1204+D1207</f>
        <v>16901</v>
      </c>
      <c r="E1201" s="414">
        <f>E1202+E1203+E1204+E1207</f>
        <v>0</v>
      </c>
      <c r="F1201" s="167">
        <f t="shared" si="63"/>
        <v>16901</v>
      </c>
    </row>
    <row r="1202" spans="1:6" ht="20.25">
      <c r="A1202" s="204" t="s">
        <v>561</v>
      </c>
      <c r="B1202" s="474"/>
      <c r="C1202" s="235">
        <v>10</v>
      </c>
      <c r="D1202" s="248">
        <v>15309</v>
      </c>
      <c r="E1202" s="214"/>
      <c r="F1202" s="167">
        <f t="shared" si="63"/>
        <v>15309</v>
      </c>
    </row>
    <row r="1203" spans="1:6" ht="20.25">
      <c r="A1203" s="206" t="s">
        <v>562</v>
      </c>
      <c r="B1203" s="474"/>
      <c r="C1203" s="224">
        <v>20</v>
      </c>
      <c r="D1203" s="248">
        <f>1192+100+300</f>
        <v>1592</v>
      </c>
      <c r="E1203" s="214"/>
      <c r="F1203" s="167">
        <f t="shared" si="63"/>
        <v>1592</v>
      </c>
    </row>
    <row r="1204" spans="1:6" ht="20.25" hidden="1">
      <c r="A1204" s="219" t="s">
        <v>304</v>
      </c>
      <c r="B1204" s="474"/>
      <c r="C1204" s="235">
        <v>55</v>
      </c>
      <c r="D1204" s="367">
        <f>D1205</f>
        <v>0</v>
      </c>
      <c r="E1204" s="414">
        <f>E1205</f>
        <v>0</v>
      </c>
      <c r="F1204" s="167">
        <f t="shared" si="63"/>
        <v>0</v>
      </c>
    </row>
    <row r="1205" spans="1:6" ht="20.25" hidden="1">
      <c r="A1205" s="215"/>
      <c r="B1205" s="474" t="s">
        <v>348</v>
      </c>
      <c r="C1205" s="224" t="s">
        <v>67</v>
      </c>
      <c r="D1205" s="367">
        <f>D1206</f>
        <v>0</v>
      </c>
      <c r="E1205" s="414">
        <f>E1206</f>
        <v>0</v>
      </c>
      <c r="F1205" s="167">
        <f t="shared" si="63"/>
        <v>0</v>
      </c>
    </row>
    <row r="1206" spans="1:6" ht="20.25" hidden="1">
      <c r="A1206" s="215"/>
      <c r="B1206" s="222" t="s">
        <v>624</v>
      </c>
      <c r="C1206" s="224" t="s">
        <v>625</v>
      </c>
      <c r="D1206" s="248"/>
      <c r="E1206" s="214"/>
      <c r="F1206" s="167">
        <f t="shared" si="63"/>
        <v>0</v>
      </c>
    </row>
    <row r="1207" spans="1:6" ht="20.25" hidden="1">
      <c r="A1207" s="237" t="s">
        <v>1018</v>
      </c>
      <c r="B1207" s="205"/>
      <c r="C1207" s="235">
        <v>59</v>
      </c>
      <c r="D1207" s="248"/>
      <c r="E1207" s="214"/>
      <c r="F1207" s="167">
        <f t="shared" si="63"/>
        <v>0</v>
      </c>
    </row>
    <row r="1208" spans="1:6" ht="20.25" hidden="1">
      <c r="A1208" s="261" t="s">
        <v>918</v>
      </c>
      <c r="B1208" s="474"/>
      <c r="C1208" s="224">
        <v>70</v>
      </c>
      <c r="D1208" s="367">
        <f t="shared" ref="D1208:E1210" si="64">D1209</f>
        <v>0</v>
      </c>
      <c r="E1208" s="414">
        <f t="shared" si="64"/>
        <v>0</v>
      </c>
      <c r="F1208" s="167">
        <f t="shared" si="63"/>
        <v>0</v>
      </c>
    </row>
    <row r="1209" spans="1:6" ht="20.25" hidden="1">
      <c r="A1209" s="226" t="s">
        <v>919</v>
      </c>
      <c r="B1209" s="474"/>
      <c r="C1209" s="224">
        <v>71</v>
      </c>
      <c r="D1209" s="248">
        <f t="shared" si="64"/>
        <v>0</v>
      </c>
      <c r="E1209" s="214">
        <f t="shared" si="64"/>
        <v>0</v>
      </c>
      <c r="F1209" s="167">
        <f t="shared" si="63"/>
        <v>0</v>
      </c>
    </row>
    <row r="1210" spans="1:6" ht="20.25" hidden="1">
      <c r="A1210" s="219" t="s">
        <v>110</v>
      </c>
      <c r="B1210" s="474"/>
      <c r="C1210" s="224" t="s">
        <v>80</v>
      </c>
      <c r="D1210" s="248">
        <f t="shared" si="64"/>
        <v>0</v>
      </c>
      <c r="E1210" s="214">
        <f t="shared" si="64"/>
        <v>0</v>
      </c>
      <c r="F1210" s="167">
        <f t="shared" si="63"/>
        <v>0</v>
      </c>
    </row>
    <row r="1211" spans="1:6" ht="20.25" hidden="1">
      <c r="A1211" s="219"/>
      <c r="B1211" s="218" t="s">
        <v>81</v>
      </c>
      <c r="C1211" s="241" t="s">
        <v>82</v>
      </c>
      <c r="D1211" s="248"/>
      <c r="E1211" s="214"/>
      <c r="F1211" s="167">
        <f t="shared" si="63"/>
        <v>0</v>
      </c>
    </row>
    <row r="1212" spans="1:6" ht="20.25" hidden="1">
      <c r="A1212" s="219"/>
      <c r="B1212" s="220" t="s">
        <v>83</v>
      </c>
      <c r="C1212" s="241" t="s">
        <v>84</v>
      </c>
      <c r="D1212" s="248"/>
      <c r="E1212" s="214"/>
      <c r="F1212" s="167">
        <f t="shared" si="63"/>
        <v>0</v>
      </c>
    </row>
    <row r="1213" spans="1:6" ht="20.25" hidden="1">
      <c r="A1213" s="219"/>
      <c r="B1213" s="220" t="s">
        <v>94</v>
      </c>
      <c r="C1213" s="241" t="s">
        <v>86</v>
      </c>
      <c r="D1213" s="248"/>
      <c r="E1213" s="214"/>
      <c r="F1213" s="167">
        <f t="shared" si="63"/>
        <v>0</v>
      </c>
    </row>
    <row r="1214" spans="1:6" ht="20.25" hidden="1">
      <c r="A1214" s="219"/>
      <c r="B1214" s="220" t="s">
        <v>87</v>
      </c>
      <c r="C1214" s="241" t="s">
        <v>88</v>
      </c>
      <c r="D1214" s="248"/>
      <c r="E1214" s="214"/>
      <c r="F1214" s="167">
        <f t="shared" si="63"/>
        <v>0</v>
      </c>
    </row>
    <row r="1215" spans="1:6" ht="20.25" hidden="1">
      <c r="A1215" s="526" t="s">
        <v>268</v>
      </c>
      <c r="B1215" s="529"/>
      <c r="C1215" s="241" t="s">
        <v>269</v>
      </c>
      <c r="D1215" s="248"/>
      <c r="E1215" s="214"/>
      <c r="F1215" s="167">
        <f t="shared" si="63"/>
        <v>0</v>
      </c>
    </row>
    <row r="1216" spans="1:6" ht="20.25">
      <c r="A1216" s="526" t="s">
        <v>1015</v>
      </c>
      <c r="B1216" s="529"/>
      <c r="C1216" s="224">
        <v>85</v>
      </c>
      <c r="D1216" s="367">
        <f>D1217</f>
        <v>-17.79</v>
      </c>
      <c r="E1216" s="414">
        <f>E1217</f>
        <v>0</v>
      </c>
      <c r="F1216" s="167">
        <f t="shared" si="63"/>
        <v>-17.79</v>
      </c>
    </row>
    <row r="1217" spans="1:6" ht="20.25">
      <c r="A1217" s="459"/>
      <c r="B1217" s="220" t="s">
        <v>311</v>
      </c>
      <c r="C1217" s="224" t="s">
        <v>312</v>
      </c>
      <c r="D1217" s="248">
        <v>-17.79</v>
      </c>
      <c r="E1217" s="214"/>
      <c r="F1217" s="167">
        <f t="shared" si="63"/>
        <v>-17.79</v>
      </c>
    </row>
    <row r="1218" spans="1:6" ht="20.25" hidden="1">
      <c r="A1218" s="242"/>
      <c r="B1218" s="243"/>
      <c r="C1218" s="224"/>
      <c r="D1218" s="248"/>
      <c r="E1218" s="214"/>
      <c r="F1218" s="167">
        <f t="shared" si="63"/>
        <v>0</v>
      </c>
    </row>
    <row r="1219" spans="1:6" ht="20.25">
      <c r="A1219" s="262" t="s">
        <v>383</v>
      </c>
      <c r="B1219" s="245"/>
      <c r="C1219" s="224" t="s">
        <v>384</v>
      </c>
      <c r="D1219" s="248">
        <f>D1220</f>
        <v>16861.21</v>
      </c>
      <c r="E1219" s="214">
        <f>E1220</f>
        <v>0</v>
      </c>
      <c r="F1219" s="167">
        <f t="shared" si="63"/>
        <v>16861.21</v>
      </c>
    </row>
    <row r="1220" spans="1:6" ht="20.25">
      <c r="A1220" s="262"/>
      <c r="B1220" s="475" t="s">
        <v>350</v>
      </c>
      <c r="C1220" s="224" t="s">
        <v>385</v>
      </c>
      <c r="D1220" s="248">
        <f>16496-17.79-5+88+300</f>
        <v>16861.21</v>
      </c>
      <c r="E1220" s="214"/>
      <c r="F1220" s="167">
        <f t="shared" si="63"/>
        <v>16861.21</v>
      </c>
    </row>
    <row r="1221" spans="1:6" ht="20.25">
      <c r="A1221" s="262" t="s">
        <v>111</v>
      </c>
      <c r="B1221" s="245"/>
      <c r="C1221" s="224" t="s">
        <v>568</v>
      </c>
      <c r="D1221" s="248">
        <f>10+12</f>
        <v>22</v>
      </c>
      <c r="E1221" s="214"/>
      <c r="F1221" s="167">
        <f t="shared" si="63"/>
        <v>22</v>
      </c>
    </row>
    <row r="1222" spans="1:6" ht="20.25" hidden="1">
      <c r="A1222" s="262" t="s">
        <v>386</v>
      </c>
      <c r="B1222" s="245"/>
      <c r="C1222" s="224" t="s">
        <v>387</v>
      </c>
      <c r="D1222" s="248"/>
      <c r="E1222" s="214"/>
      <c r="F1222" s="167">
        <f t="shared" si="63"/>
        <v>0</v>
      </c>
    </row>
    <row r="1223" spans="1:6" ht="20.25" hidden="1">
      <c r="A1223" s="246"/>
      <c r="B1223" s="474"/>
      <c r="C1223" s="224"/>
      <c r="D1223" s="248"/>
      <c r="E1223" s="214"/>
      <c r="F1223" s="167">
        <f t="shared" si="63"/>
        <v>0</v>
      </c>
    </row>
    <row r="1224" spans="1:6" ht="20.25" hidden="1">
      <c r="A1224" s="263"/>
      <c r="B1224" s="396"/>
      <c r="C1224" s="224" t="s">
        <v>112</v>
      </c>
      <c r="D1224" s="248"/>
      <c r="E1224" s="214"/>
      <c r="F1224" s="167">
        <f t="shared" ref="F1224:F1225" si="65">D1224+E1224</f>
        <v>0</v>
      </c>
    </row>
    <row r="1225" spans="1:6" ht="20.25" hidden="1">
      <c r="A1225" s="263"/>
      <c r="B1225" s="396"/>
      <c r="C1225" s="224"/>
      <c r="D1225" s="248"/>
      <c r="E1225" s="214"/>
      <c r="F1225" s="167">
        <f t="shared" si="65"/>
        <v>0</v>
      </c>
    </row>
    <row r="1226" spans="1:6" ht="20.25">
      <c r="A1226" s="255"/>
      <c r="B1226" s="264" t="s">
        <v>113</v>
      </c>
      <c r="C1226" s="202" t="s">
        <v>569</v>
      </c>
      <c r="D1226" s="350">
        <f>D1265+D1268+D1272+D1273+D1275+D1278+D1279</f>
        <v>57090.170000000006</v>
      </c>
      <c r="E1226" s="409">
        <f>E1265+E1268+E1272+E1273+E1275+E1278+E1279</f>
        <v>0</v>
      </c>
      <c r="F1226" s="210">
        <f>F1265+F1268+F1272+F1273+F1275+F1278+F1279</f>
        <v>57090.170000000006</v>
      </c>
    </row>
    <row r="1227" spans="1:6" ht="20.25">
      <c r="A1227" s="247" t="s">
        <v>114</v>
      </c>
      <c r="B1227" s="474"/>
      <c r="C1227" s="235" t="s">
        <v>49</v>
      </c>
      <c r="D1227" s="367">
        <f>D1228+D1229+D1230+D1233+D1245+D1239+D1237</f>
        <v>57090.17</v>
      </c>
      <c r="E1227" s="414">
        <f>E1228+E1229+E1230+E1233+E1245+E1239+E1237</f>
        <v>0</v>
      </c>
      <c r="F1227" s="167">
        <f t="shared" ref="F1227:F1239" si="66">D1227+E1227</f>
        <v>57090.17</v>
      </c>
    </row>
    <row r="1228" spans="1:6" ht="20.25">
      <c r="A1228" s="204" t="s">
        <v>561</v>
      </c>
      <c r="B1228" s="474"/>
      <c r="C1228" s="235">
        <v>10</v>
      </c>
      <c r="D1228" s="248">
        <f>1088.17+100</f>
        <v>1188.17</v>
      </c>
      <c r="E1228" s="214"/>
      <c r="F1228" s="167">
        <f t="shared" si="66"/>
        <v>1188.17</v>
      </c>
    </row>
    <row r="1229" spans="1:6" ht="20.25">
      <c r="A1229" s="206" t="s">
        <v>562</v>
      </c>
      <c r="B1229" s="474"/>
      <c r="C1229" s="224">
        <v>20</v>
      </c>
      <c r="D1229" s="248">
        <f>24665+1500+400+1200+5475</f>
        <v>33240</v>
      </c>
      <c r="E1229" s="214"/>
      <c r="F1229" s="167">
        <f t="shared" si="66"/>
        <v>33240</v>
      </c>
    </row>
    <row r="1230" spans="1:6" ht="20.25" hidden="1">
      <c r="A1230" s="219" t="s">
        <v>388</v>
      </c>
      <c r="B1230" s="474"/>
      <c r="C1230" s="235" t="s">
        <v>592</v>
      </c>
      <c r="D1230" s="248"/>
      <c r="E1230" s="214"/>
      <c r="F1230" s="167">
        <f t="shared" si="66"/>
        <v>0</v>
      </c>
    </row>
    <row r="1231" spans="1:6" ht="20.25" hidden="1">
      <c r="A1231" s="340"/>
      <c r="B1231" s="474" t="s">
        <v>55</v>
      </c>
      <c r="C1231" s="235" t="s">
        <v>56</v>
      </c>
      <c r="D1231" s="248"/>
      <c r="E1231" s="214"/>
      <c r="F1231" s="167">
        <f t="shared" si="66"/>
        <v>0</v>
      </c>
    </row>
    <row r="1232" spans="1:6" ht="20.25" hidden="1">
      <c r="A1232" s="340"/>
      <c r="B1232" s="222" t="s">
        <v>100</v>
      </c>
      <c r="C1232" s="235" t="s">
        <v>58</v>
      </c>
      <c r="D1232" s="248"/>
      <c r="E1232" s="214"/>
      <c r="F1232" s="167">
        <f t="shared" si="66"/>
        <v>0</v>
      </c>
    </row>
    <row r="1233" spans="1:6" ht="20.25">
      <c r="A1233" s="219" t="s">
        <v>623</v>
      </c>
      <c r="B1233" s="474"/>
      <c r="C1233" s="235" t="s">
        <v>159</v>
      </c>
      <c r="D1233" s="248">
        <f>D1234</f>
        <v>11657</v>
      </c>
      <c r="E1233" s="214">
        <f>E1234</f>
        <v>0</v>
      </c>
      <c r="F1233" s="167">
        <f t="shared" si="66"/>
        <v>11657</v>
      </c>
    </row>
    <row r="1234" spans="1:6" ht="20.25">
      <c r="A1234" s="215"/>
      <c r="B1234" s="474" t="s">
        <v>301</v>
      </c>
      <c r="C1234" s="235" t="s">
        <v>67</v>
      </c>
      <c r="D1234" s="248">
        <f>D1235+D1236</f>
        <v>11657</v>
      </c>
      <c r="E1234" s="214">
        <f>E1235+E1236</f>
        <v>0</v>
      </c>
      <c r="F1234" s="167">
        <f t="shared" si="66"/>
        <v>11657</v>
      </c>
    </row>
    <row r="1235" spans="1:6" ht="20.25" hidden="1">
      <c r="A1235" s="215"/>
      <c r="B1235" s="222" t="s">
        <v>624</v>
      </c>
      <c r="C1235" s="235" t="s">
        <v>625</v>
      </c>
      <c r="D1235" s="248"/>
      <c r="E1235" s="214"/>
      <c r="F1235" s="167">
        <f t="shared" si="66"/>
        <v>0</v>
      </c>
    </row>
    <row r="1236" spans="1:6" ht="20.25">
      <c r="A1236" s="215"/>
      <c r="B1236" s="222" t="s">
        <v>877</v>
      </c>
      <c r="C1236" s="224" t="s">
        <v>878</v>
      </c>
      <c r="D1236" s="248">
        <v>11657</v>
      </c>
      <c r="E1236" s="214"/>
      <c r="F1236" s="167">
        <f t="shared" si="66"/>
        <v>11657</v>
      </c>
    </row>
    <row r="1237" spans="1:6" ht="36" hidden="1">
      <c r="A1237" s="215"/>
      <c r="B1237" s="222" t="s">
        <v>321</v>
      </c>
      <c r="C1237" s="235">
        <v>56</v>
      </c>
      <c r="D1237" s="367"/>
      <c r="E1237" s="414"/>
      <c r="F1237" s="167">
        <f t="shared" si="66"/>
        <v>0</v>
      </c>
    </row>
    <row r="1238" spans="1:6" ht="20.25" hidden="1">
      <c r="A1238" s="215"/>
      <c r="B1238" s="222" t="s">
        <v>315</v>
      </c>
      <c r="C1238" s="224" t="s">
        <v>324</v>
      </c>
      <c r="D1238" s="248"/>
      <c r="E1238" s="214"/>
      <c r="F1238" s="167">
        <f t="shared" si="66"/>
        <v>0</v>
      </c>
    </row>
    <row r="1239" spans="1:6" ht="20.25">
      <c r="A1239" s="219" t="s">
        <v>316</v>
      </c>
      <c r="B1239" s="474"/>
      <c r="C1239" s="235">
        <v>57</v>
      </c>
      <c r="D1239" s="367">
        <f>D1240</f>
        <v>10825</v>
      </c>
      <c r="E1239" s="414">
        <f>E1240</f>
        <v>0</v>
      </c>
      <c r="F1239" s="167">
        <f t="shared" si="66"/>
        <v>10825</v>
      </c>
    </row>
    <row r="1240" spans="1:6" ht="20.25">
      <c r="A1240" s="376" t="s">
        <v>69</v>
      </c>
      <c r="B1240" s="474"/>
      <c r="C1240" s="224" t="s">
        <v>70</v>
      </c>
      <c r="D1240" s="367">
        <f>D1241+D1242+D1243+D1244</f>
        <v>10825</v>
      </c>
      <c r="E1240" s="414">
        <f>E1241+E1242+E1243+E1244</f>
        <v>0</v>
      </c>
      <c r="F1240" s="210">
        <f>F1241+F1242+F1243+F1244</f>
        <v>10825</v>
      </c>
    </row>
    <row r="1241" spans="1:6" ht="22.5" customHeight="1">
      <c r="A1241" s="225"/>
      <c r="B1241" s="475" t="s">
        <v>71</v>
      </c>
      <c r="C1241" s="224" t="s">
        <v>72</v>
      </c>
      <c r="D1241" s="248">
        <v>3154</v>
      </c>
      <c r="E1241" s="214"/>
      <c r="F1241" s="167">
        <f t="shared" ref="F1241:F1274" si="67">D1241+E1241</f>
        <v>3154</v>
      </c>
    </row>
    <row r="1242" spans="1:6" ht="20.25" customHeight="1">
      <c r="A1242" s="215"/>
      <c r="B1242" s="475" t="s">
        <v>126</v>
      </c>
      <c r="C1242" s="224" t="s">
        <v>74</v>
      </c>
      <c r="D1242" s="248">
        <v>5744</v>
      </c>
      <c r="E1242" s="214"/>
      <c r="F1242" s="167">
        <f t="shared" si="67"/>
        <v>5744</v>
      </c>
    </row>
    <row r="1243" spans="1:6" ht="20.25">
      <c r="A1243" s="238"/>
      <c r="B1243" s="475" t="s">
        <v>881</v>
      </c>
      <c r="C1243" s="224" t="s">
        <v>882</v>
      </c>
      <c r="D1243" s="248">
        <v>41</v>
      </c>
      <c r="E1243" s="214"/>
      <c r="F1243" s="167">
        <f t="shared" si="67"/>
        <v>41</v>
      </c>
    </row>
    <row r="1244" spans="1:6" ht="20.25">
      <c r="A1244" s="238"/>
      <c r="B1244" s="475" t="s">
        <v>1010</v>
      </c>
      <c r="C1244" s="224" t="s">
        <v>1009</v>
      </c>
      <c r="D1244" s="248">
        <v>1886</v>
      </c>
      <c r="E1244" s="214"/>
      <c r="F1244" s="167">
        <f t="shared" si="67"/>
        <v>1886</v>
      </c>
    </row>
    <row r="1245" spans="1:6" ht="19.5" customHeight="1">
      <c r="A1245" s="237" t="s">
        <v>658</v>
      </c>
      <c r="B1245" s="474"/>
      <c r="C1245" s="235">
        <v>59</v>
      </c>
      <c r="D1245" s="367">
        <f>D1246+D1247+D1248</f>
        <v>180</v>
      </c>
      <c r="E1245" s="414">
        <f>E1246+E1247+E1248</f>
        <v>0</v>
      </c>
      <c r="F1245" s="167">
        <f t="shared" si="67"/>
        <v>180</v>
      </c>
    </row>
    <row r="1246" spans="1:6" ht="20.25" hidden="1">
      <c r="A1246" s="398"/>
      <c r="B1246" s="405" t="s">
        <v>115</v>
      </c>
      <c r="C1246" s="235" t="s">
        <v>76</v>
      </c>
      <c r="D1246" s="248"/>
      <c r="E1246" s="214"/>
      <c r="F1246" s="167">
        <f t="shared" si="67"/>
        <v>0</v>
      </c>
    </row>
    <row r="1247" spans="1:6" ht="18.75" hidden="1" customHeight="1">
      <c r="A1247" s="398"/>
      <c r="B1247" s="405" t="s">
        <v>891</v>
      </c>
      <c r="C1247" s="224" t="s">
        <v>892</v>
      </c>
      <c r="D1247" s="248"/>
      <c r="E1247" s="214"/>
      <c r="F1247" s="167">
        <f t="shared" si="67"/>
        <v>0</v>
      </c>
    </row>
    <row r="1248" spans="1:6" ht="21" customHeight="1">
      <c r="A1248" s="398"/>
      <c r="B1248" s="405" t="s">
        <v>884</v>
      </c>
      <c r="C1248" s="224" t="s">
        <v>819</v>
      </c>
      <c r="D1248" s="248">
        <v>180</v>
      </c>
      <c r="E1248" s="214"/>
      <c r="F1248" s="167">
        <f t="shared" si="67"/>
        <v>180</v>
      </c>
    </row>
    <row r="1249" spans="1:6" ht="21" hidden="1" customHeight="1">
      <c r="A1249" s="261" t="s">
        <v>116</v>
      </c>
      <c r="B1249" s="474"/>
      <c r="C1249" s="224">
        <v>70</v>
      </c>
      <c r="D1249" s="367">
        <f>D1250</f>
        <v>0</v>
      </c>
      <c r="E1249" s="414">
        <f>E1250</f>
        <v>0</v>
      </c>
      <c r="F1249" s="167">
        <f t="shared" si="67"/>
        <v>0</v>
      </c>
    </row>
    <row r="1250" spans="1:6" ht="21" hidden="1" customHeight="1">
      <c r="A1250" s="226" t="s">
        <v>657</v>
      </c>
      <c r="B1250" s="474"/>
      <c r="C1250" s="224">
        <v>71</v>
      </c>
      <c r="D1250" s="248">
        <f>D1251</f>
        <v>0</v>
      </c>
      <c r="E1250" s="214">
        <f>E1251</f>
        <v>0</v>
      </c>
      <c r="F1250" s="167">
        <f t="shared" si="67"/>
        <v>0</v>
      </c>
    </row>
    <row r="1251" spans="1:6" ht="21" hidden="1" customHeight="1">
      <c r="A1251" s="219" t="s">
        <v>110</v>
      </c>
      <c r="B1251" s="474"/>
      <c r="C1251" s="224" t="s">
        <v>80</v>
      </c>
      <c r="D1251" s="248"/>
      <c r="E1251" s="214"/>
      <c r="F1251" s="167">
        <f t="shared" si="67"/>
        <v>0</v>
      </c>
    </row>
    <row r="1252" spans="1:6" ht="21" hidden="1" customHeight="1">
      <c r="A1252" s="219"/>
      <c r="B1252" s="218" t="s">
        <v>81</v>
      </c>
      <c r="C1252" s="241" t="s">
        <v>82</v>
      </c>
      <c r="D1252" s="248"/>
      <c r="E1252" s="214"/>
      <c r="F1252" s="167">
        <f t="shared" si="67"/>
        <v>0</v>
      </c>
    </row>
    <row r="1253" spans="1:6" ht="21" hidden="1" customHeight="1">
      <c r="A1253" s="219"/>
      <c r="B1253" s="220" t="s">
        <v>83</v>
      </c>
      <c r="C1253" s="241" t="s">
        <v>84</v>
      </c>
      <c r="D1253" s="248"/>
      <c r="E1253" s="214"/>
      <c r="F1253" s="167">
        <f t="shared" si="67"/>
        <v>0</v>
      </c>
    </row>
    <row r="1254" spans="1:6" ht="21" hidden="1" customHeight="1">
      <c r="A1254" s="219"/>
      <c r="B1254" s="220" t="s">
        <v>94</v>
      </c>
      <c r="C1254" s="241" t="s">
        <v>86</v>
      </c>
      <c r="D1254" s="248"/>
      <c r="E1254" s="214"/>
      <c r="F1254" s="167">
        <f t="shared" si="67"/>
        <v>0</v>
      </c>
    </row>
    <row r="1255" spans="1:6" ht="21" hidden="1" customHeight="1">
      <c r="A1255" s="219"/>
      <c r="B1255" s="220" t="s">
        <v>87</v>
      </c>
      <c r="C1255" s="241" t="s">
        <v>88</v>
      </c>
      <c r="D1255" s="248"/>
      <c r="E1255" s="214"/>
      <c r="F1255" s="167">
        <f t="shared" si="67"/>
        <v>0</v>
      </c>
    </row>
    <row r="1256" spans="1:6" ht="21" hidden="1" customHeight="1">
      <c r="A1256" s="526" t="s">
        <v>268</v>
      </c>
      <c r="B1256" s="529"/>
      <c r="C1256" s="241" t="s">
        <v>269</v>
      </c>
      <c r="D1256" s="248"/>
      <c r="E1256" s="214"/>
      <c r="F1256" s="167">
        <f t="shared" si="67"/>
        <v>0</v>
      </c>
    </row>
    <row r="1257" spans="1:6" ht="21" hidden="1" customHeight="1">
      <c r="A1257" s="215"/>
      <c r="B1257" s="220"/>
      <c r="C1257" s="224">
        <v>79</v>
      </c>
      <c r="D1257" s="248"/>
      <c r="E1257" s="214"/>
      <c r="F1257" s="167">
        <f t="shared" si="67"/>
        <v>0</v>
      </c>
    </row>
    <row r="1258" spans="1:6" ht="20.25" hidden="1" customHeight="1">
      <c r="A1258" s="219" t="s">
        <v>920</v>
      </c>
      <c r="B1258" s="220"/>
      <c r="C1258" s="224">
        <v>81</v>
      </c>
      <c r="D1258" s="248">
        <f>D1259+D1260+D1261</f>
        <v>0</v>
      </c>
      <c r="E1258" s="214">
        <f>E1259+E1260+E1261</f>
        <v>0</v>
      </c>
      <c r="F1258" s="167">
        <f t="shared" si="67"/>
        <v>0</v>
      </c>
    </row>
    <row r="1259" spans="1:6" ht="20.25" hidden="1" customHeight="1">
      <c r="A1259" s="219" t="s">
        <v>287</v>
      </c>
      <c r="B1259" s="220"/>
      <c r="C1259" s="224" t="s">
        <v>279</v>
      </c>
      <c r="D1259" s="248"/>
      <c r="E1259" s="214"/>
      <c r="F1259" s="167">
        <f t="shared" si="67"/>
        <v>0</v>
      </c>
    </row>
    <row r="1260" spans="1:6" ht="20.25" hidden="1" customHeight="1">
      <c r="A1260" s="206" t="s">
        <v>629</v>
      </c>
      <c r="B1260" s="220"/>
      <c r="C1260" s="224" t="s">
        <v>602</v>
      </c>
      <c r="D1260" s="248"/>
      <c r="E1260" s="214"/>
      <c r="F1260" s="167">
        <f t="shared" si="67"/>
        <v>0</v>
      </c>
    </row>
    <row r="1261" spans="1:6" ht="33.75" hidden="1" customHeight="1">
      <c r="A1261" s="537" t="s">
        <v>887</v>
      </c>
      <c r="B1261" s="529"/>
      <c r="C1261" s="224" t="s">
        <v>921</v>
      </c>
      <c r="D1261" s="248"/>
      <c r="E1261" s="214"/>
      <c r="F1261" s="167">
        <f t="shared" si="67"/>
        <v>0</v>
      </c>
    </row>
    <row r="1262" spans="1:6" ht="20.25" hidden="1" customHeight="1">
      <c r="A1262" s="206"/>
      <c r="B1262" s="220" t="s">
        <v>318</v>
      </c>
      <c r="C1262" s="224">
        <v>85</v>
      </c>
      <c r="D1262" s="248">
        <f>D1263</f>
        <v>0</v>
      </c>
      <c r="E1262" s="214">
        <f>E1263</f>
        <v>0</v>
      </c>
      <c r="F1262" s="167">
        <f t="shared" si="67"/>
        <v>0</v>
      </c>
    </row>
    <row r="1263" spans="1:6" ht="20.25" hidden="1" customHeight="1">
      <c r="A1263" s="206"/>
      <c r="B1263" s="220" t="s">
        <v>311</v>
      </c>
      <c r="C1263" s="224" t="s">
        <v>312</v>
      </c>
      <c r="D1263" s="248"/>
      <c r="E1263" s="214"/>
      <c r="F1263" s="167">
        <f t="shared" si="67"/>
        <v>0</v>
      </c>
    </row>
    <row r="1264" spans="1:6" ht="20.25" hidden="1" customHeight="1">
      <c r="A1264" s="242"/>
      <c r="B1264" s="243"/>
      <c r="C1264" s="224"/>
      <c r="D1264" s="248"/>
      <c r="E1264" s="214"/>
      <c r="F1264" s="167">
        <f t="shared" si="67"/>
        <v>0</v>
      </c>
    </row>
    <row r="1265" spans="1:7" ht="20.25" hidden="1" customHeight="1">
      <c r="A1265" s="269" t="s">
        <v>117</v>
      </c>
      <c r="B1265" s="270"/>
      <c r="C1265" s="202" t="s">
        <v>118</v>
      </c>
      <c r="D1265" s="248">
        <f>D1266+D1267</f>
        <v>6457.08</v>
      </c>
      <c r="E1265" s="214">
        <f>E1266+E1267</f>
        <v>0</v>
      </c>
      <c r="F1265" s="167">
        <f t="shared" si="67"/>
        <v>6457.08</v>
      </c>
    </row>
    <row r="1266" spans="1:7" ht="20.25" hidden="1" customHeight="1">
      <c r="A1266" s="269"/>
      <c r="B1266" s="270" t="s">
        <v>119</v>
      </c>
      <c r="C1266" s="202" t="s">
        <v>570</v>
      </c>
      <c r="D1266" s="248">
        <v>6457.08</v>
      </c>
      <c r="E1266" s="214"/>
      <c r="F1266" s="167">
        <f t="shared" si="67"/>
        <v>6457.08</v>
      </c>
    </row>
    <row r="1267" spans="1:7" ht="20.25" hidden="1" customHeight="1">
      <c r="A1267" s="269"/>
      <c r="B1267" s="270" t="s">
        <v>120</v>
      </c>
      <c r="C1267" s="202" t="s">
        <v>571</v>
      </c>
      <c r="D1267" s="248"/>
      <c r="E1267" s="214"/>
      <c r="F1267" s="167">
        <f t="shared" si="67"/>
        <v>0</v>
      </c>
    </row>
    <row r="1268" spans="1:7" ht="20.25" hidden="1" customHeight="1">
      <c r="A1268" s="269" t="s">
        <v>121</v>
      </c>
      <c r="B1268" s="259"/>
      <c r="C1268" s="202" t="s">
        <v>616</v>
      </c>
      <c r="D1268" s="367">
        <f>D1269+D1270+D1271</f>
        <v>30574.65</v>
      </c>
      <c r="E1268" s="414">
        <f>E1269+E1270+E1271</f>
        <v>0</v>
      </c>
      <c r="F1268" s="167">
        <f t="shared" si="67"/>
        <v>30574.65</v>
      </c>
      <c r="G1268" s="142" t="s">
        <v>997</v>
      </c>
    </row>
    <row r="1269" spans="1:7" ht="20.25" hidden="1" customHeight="1">
      <c r="A1269" s="269"/>
      <c r="B1269" s="475" t="s">
        <v>389</v>
      </c>
      <c r="C1269" s="202" t="s">
        <v>390</v>
      </c>
      <c r="D1269" s="248">
        <v>12572.61</v>
      </c>
      <c r="E1269" s="214"/>
      <c r="F1269" s="167">
        <f t="shared" si="67"/>
        <v>12572.61</v>
      </c>
    </row>
    <row r="1270" spans="1:7" ht="20.25" hidden="1" customHeight="1">
      <c r="A1270" s="269"/>
      <c r="B1270" s="475" t="s">
        <v>122</v>
      </c>
      <c r="C1270" s="202" t="s">
        <v>123</v>
      </c>
      <c r="D1270" s="248">
        <v>18002.04</v>
      </c>
      <c r="E1270" s="214"/>
      <c r="F1270" s="167">
        <f t="shared" si="67"/>
        <v>18002.04</v>
      </c>
    </row>
    <row r="1271" spans="1:7" ht="20.25" hidden="1" customHeight="1">
      <c r="A1271" s="269"/>
      <c r="B1271" s="220" t="s">
        <v>391</v>
      </c>
      <c r="C1271" s="202" t="s">
        <v>392</v>
      </c>
      <c r="D1271" s="248"/>
      <c r="E1271" s="214"/>
      <c r="F1271" s="167">
        <f t="shared" si="67"/>
        <v>0</v>
      </c>
    </row>
    <row r="1272" spans="1:7" ht="20.25" hidden="1" customHeight="1">
      <c r="A1272" s="244" t="s">
        <v>393</v>
      </c>
      <c r="B1272" s="475"/>
      <c r="C1272" s="202" t="s">
        <v>394</v>
      </c>
      <c r="D1272" s="248"/>
      <c r="E1272" s="214"/>
      <c r="F1272" s="167">
        <f t="shared" si="67"/>
        <v>0</v>
      </c>
    </row>
    <row r="1273" spans="1:7" ht="20.25" hidden="1" customHeight="1">
      <c r="A1273" s="244" t="s">
        <v>395</v>
      </c>
      <c r="B1273" s="475"/>
      <c r="C1273" s="202" t="s">
        <v>396</v>
      </c>
      <c r="D1273" s="248"/>
      <c r="E1273" s="214"/>
      <c r="F1273" s="167">
        <f t="shared" si="67"/>
        <v>0</v>
      </c>
    </row>
    <row r="1274" spans="1:7" ht="20.25" hidden="1" customHeight="1">
      <c r="A1274" s="244"/>
      <c r="B1274" s="475" t="s">
        <v>397</v>
      </c>
      <c r="C1274" s="202" t="s">
        <v>398</v>
      </c>
      <c r="D1274" s="248"/>
      <c r="E1274" s="214"/>
      <c r="F1274" s="167">
        <f t="shared" si="67"/>
        <v>0</v>
      </c>
    </row>
    <row r="1275" spans="1:7" ht="20.25" hidden="1" customHeight="1">
      <c r="A1275" s="244" t="s">
        <v>399</v>
      </c>
      <c r="B1275" s="475"/>
      <c r="C1275" s="202" t="s">
        <v>400</v>
      </c>
      <c r="D1275" s="248">
        <f>D1276+D1277</f>
        <v>7630</v>
      </c>
      <c r="E1275" s="214">
        <f>E1276+E1277</f>
        <v>0</v>
      </c>
      <c r="F1275" s="339">
        <f>F1276+F1277</f>
        <v>7630</v>
      </c>
    </row>
    <row r="1276" spans="1:7" ht="20.25" hidden="1" customHeight="1">
      <c r="A1276" s="244"/>
      <c r="B1276" s="270" t="s">
        <v>401</v>
      </c>
      <c r="C1276" s="202" t="s">
        <v>402</v>
      </c>
      <c r="D1276" s="248"/>
      <c r="E1276" s="214"/>
      <c r="F1276" s="167">
        <f t="shared" ref="F1276:F1281" si="68">D1276+E1276</f>
        <v>0</v>
      </c>
    </row>
    <row r="1277" spans="1:7" ht="20.25" hidden="1" customHeight="1">
      <c r="A1277" s="244"/>
      <c r="B1277" s="475" t="s">
        <v>403</v>
      </c>
      <c r="C1277" s="202" t="s">
        <v>404</v>
      </c>
      <c r="D1277" s="248">
        <f>5744+1886</f>
        <v>7630</v>
      </c>
      <c r="E1277" s="214"/>
      <c r="F1277" s="167">
        <f t="shared" si="68"/>
        <v>7630</v>
      </c>
    </row>
    <row r="1278" spans="1:7" ht="20.25" hidden="1" customHeight="1">
      <c r="A1278" s="244" t="s">
        <v>993</v>
      </c>
      <c r="B1278" s="475"/>
      <c r="C1278" s="202" t="s">
        <v>994</v>
      </c>
      <c r="D1278" s="248">
        <f>180+510+622.44+400+375</f>
        <v>2087.44</v>
      </c>
      <c r="E1278" s="214"/>
      <c r="F1278" s="167">
        <f t="shared" si="68"/>
        <v>2087.44</v>
      </c>
    </row>
    <row r="1279" spans="1:7" ht="20.25" hidden="1" customHeight="1">
      <c r="A1279" s="236" t="s">
        <v>405</v>
      </c>
      <c r="B1279" s="220"/>
      <c r="C1279" s="202" t="s">
        <v>406</v>
      </c>
      <c r="D1279" s="248">
        <f>4966+1200+4300-60-65</f>
        <v>10341</v>
      </c>
      <c r="E1279" s="214"/>
      <c r="F1279" s="167">
        <f t="shared" si="68"/>
        <v>10341</v>
      </c>
    </row>
    <row r="1280" spans="1:7" ht="20.25" hidden="1" customHeight="1">
      <c r="A1280" s="271"/>
      <c r="B1280" s="474"/>
      <c r="C1280" s="224"/>
      <c r="D1280" s="248"/>
      <c r="E1280" s="214"/>
      <c r="F1280" s="167">
        <f t="shared" si="68"/>
        <v>0</v>
      </c>
    </row>
    <row r="1281" spans="1:6" ht="20.25">
      <c r="A1281" s="272"/>
      <c r="B1281" s="264" t="s">
        <v>124</v>
      </c>
      <c r="C1281" s="202" t="s">
        <v>572</v>
      </c>
      <c r="D1281" s="350">
        <f>D1308+D1311+D1310</f>
        <v>15393</v>
      </c>
      <c r="E1281" s="409">
        <f>E1308+E1311+E1310</f>
        <v>0</v>
      </c>
      <c r="F1281" s="167">
        <f t="shared" si="68"/>
        <v>15393</v>
      </c>
    </row>
    <row r="1282" spans="1:6" ht="20.25">
      <c r="A1282" s="247" t="s">
        <v>916</v>
      </c>
      <c r="B1282" s="474"/>
      <c r="C1282" s="235" t="s">
        <v>49</v>
      </c>
      <c r="D1282" s="367">
        <f>D1283+D1284+D1285+D1290+D1294+D1297</f>
        <v>15393</v>
      </c>
      <c r="E1282" s="414">
        <f>E1283+E1284+E1285+E1290+E1294+E1297</f>
        <v>0</v>
      </c>
      <c r="F1282" s="210">
        <f>F1283+F1284+F1285+F1290+F1294+F1297</f>
        <v>15393</v>
      </c>
    </row>
    <row r="1283" spans="1:6" ht="20.25">
      <c r="A1283" s="204" t="s">
        <v>561</v>
      </c>
      <c r="B1283" s="474"/>
      <c r="C1283" s="235">
        <v>10</v>
      </c>
      <c r="D1283" s="248">
        <v>13029</v>
      </c>
      <c r="E1283" s="214"/>
      <c r="F1283" s="167">
        <f t="shared" ref="F1283:F1346" si="69">D1283+E1283</f>
        <v>13029</v>
      </c>
    </row>
    <row r="1284" spans="1:6" ht="20.25">
      <c r="A1284" s="206" t="s">
        <v>562</v>
      </c>
      <c r="B1284" s="474"/>
      <c r="C1284" s="224">
        <v>20</v>
      </c>
      <c r="D1284" s="248">
        <v>190</v>
      </c>
      <c r="E1284" s="214"/>
      <c r="F1284" s="167">
        <f t="shared" si="69"/>
        <v>190</v>
      </c>
    </row>
    <row r="1285" spans="1:6" ht="20.25">
      <c r="A1285" s="219" t="s">
        <v>54</v>
      </c>
      <c r="B1285" s="474"/>
      <c r="C1285" s="235" t="s">
        <v>592</v>
      </c>
      <c r="D1285" s="367">
        <f>D1286+D1288</f>
        <v>2000</v>
      </c>
      <c r="E1285" s="414">
        <f>E1286+E1288</f>
        <v>0</v>
      </c>
      <c r="F1285" s="167">
        <f t="shared" si="69"/>
        <v>2000</v>
      </c>
    </row>
    <row r="1286" spans="1:6" ht="20.25">
      <c r="A1286" s="219" t="s">
        <v>55</v>
      </c>
      <c r="B1286" s="474"/>
      <c r="C1286" s="224" t="s">
        <v>56</v>
      </c>
      <c r="D1286" s="367">
        <f>D1287</f>
        <v>2000</v>
      </c>
      <c r="E1286" s="414">
        <f>E1287</f>
        <v>0</v>
      </c>
      <c r="F1286" s="167">
        <f t="shared" si="69"/>
        <v>2000</v>
      </c>
    </row>
    <row r="1287" spans="1:6" ht="36">
      <c r="A1287" s="215"/>
      <c r="B1287" s="222" t="s">
        <v>1034</v>
      </c>
      <c r="C1287" s="224" t="s">
        <v>1033</v>
      </c>
      <c r="D1287" s="248">
        <f>1000+1000</f>
        <v>2000</v>
      </c>
      <c r="E1287" s="214"/>
      <c r="F1287" s="167">
        <f t="shared" si="69"/>
        <v>2000</v>
      </c>
    </row>
    <row r="1288" spans="1:6" ht="20.25" hidden="1">
      <c r="A1288" s="219" t="s">
        <v>125</v>
      </c>
      <c r="B1288" s="460"/>
      <c r="C1288" s="224" t="s">
        <v>560</v>
      </c>
      <c r="D1288" s="367">
        <f>D1289</f>
        <v>0</v>
      </c>
      <c r="E1288" s="414">
        <f>E1289</f>
        <v>0</v>
      </c>
      <c r="F1288" s="167">
        <f t="shared" si="69"/>
        <v>0</v>
      </c>
    </row>
    <row r="1289" spans="1:6" ht="20.25" hidden="1">
      <c r="A1289" s="215"/>
      <c r="B1289" s="220" t="s">
        <v>894</v>
      </c>
      <c r="C1289" s="224" t="s">
        <v>65</v>
      </c>
      <c r="D1289" s="248"/>
      <c r="E1289" s="214"/>
      <c r="F1289" s="167">
        <f t="shared" si="69"/>
        <v>0</v>
      </c>
    </row>
    <row r="1290" spans="1:6" ht="20.25">
      <c r="A1290" s="219" t="s">
        <v>316</v>
      </c>
      <c r="B1290" s="474"/>
      <c r="C1290" s="235">
        <v>57</v>
      </c>
      <c r="D1290" s="367">
        <f>D1291</f>
        <v>6</v>
      </c>
      <c r="E1290" s="414">
        <f>E1291</f>
        <v>0</v>
      </c>
      <c r="F1290" s="167">
        <f t="shared" si="69"/>
        <v>6</v>
      </c>
    </row>
    <row r="1291" spans="1:6" ht="20.25">
      <c r="A1291" s="376" t="s">
        <v>69</v>
      </c>
      <c r="B1291" s="474"/>
      <c r="C1291" s="224" t="s">
        <v>70</v>
      </c>
      <c r="D1291" s="367">
        <f>D1292+D1293</f>
        <v>6</v>
      </c>
      <c r="E1291" s="414">
        <f>E1292+E1293</f>
        <v>0</v>
      </c>
      <c r="F1291" s="167">
        <f t="shared" si="69"/>
        <v>6</v>
      </c>
    </row>
    <row r="1292" spans="1:6" ht="20.25" hidden="1">
      <c r="A1292" s="225"/>
      <c r="B1292" s="475" t="s">
        <v>71</v>
      </c>
      <c r="C1292" s="224" t="s">
        <v>72</v>
      </c>
      <c r="D1292" s="248"/>
      <c r="E1292" s="214"/>
      <c r="F1292" s="167">
        <f t="shared" si="69"/>
        <v>0</v>
      </c>
    </row>
    <row r="1293" spans="1:6" ht="20.25">
      <c r="A1293" s="215"/>
      <c r="B1293" s="475" t="s">
        <v>126</v>
      </c>
      <c r="C1293" s="224" t="s">
        <v>74</v>
      </c>
      <c r="D1293" s="248">
        <v>6</v>
      </c>
      <c r="E1293" s="214"/>
      <c r="F1293" s="167">
        <f t="shared" si="69"/>
        <v>6</v>
      </c>
    </row>
    <row r="1294" spans="1:6" ht="20.25" hidden="1">
      <c r="A1294" s="219" t="s">
        <v>612</v>
      </c>
      <c r="B1294" s="474"/>
      <c r="C1294" s="235" t="s">
        <v>159</v>
      </c>
      <c r="D1294" s="248">
        <f>D1295</f>
        <v>0</v>
      </c>
      <c r="E1294" s="214">
        <f>E1295</f>
        <v>0</v>
      </c>
      <c r="F1294" s="167">
        <f t="shared" si="69"/>
        <v>0</v>
      </c>
    </row>
    <row r="1295" spans="1:6" ht="20.25" hidden="1">
      <c r="A1295" s="219" t="s">
        <v>160</v>
      </c>
      <c r="B1295" s="474"/>
      <c r="C1295" s="235" t="s">
        <v>67</v>
      </c>
      <c r="D1295" s="248">
        <f>D1296</f>
        <v>0</v>
      </c>
      <c r="E1295" s="214"/>
      <c r="F1295" s="167">
        <f t="shared" si="69"/>
        <v>0</v>
      </c>
    </row>
    <row r="1296" spans="1:6" ht="20.25" hidden="1">
      <c r="A1296" s="215"/>
      <c r="B1296" s="220" t="s">
        <v>624</v>
      </c>
      <c r="C1296" s="224" t="s">
        <v>625</v>
      </c>
      <c r="D1296" s="248"/>
      <c r="E1296" s="214"/>
      <c r="F1296" s="167">
        <f t="shared" si="69"/>
        <v>0</v>
      </c>
    </row>
    <row r="1297" spans="1:6" ht="20.25">
      <c r="A1297" s="237" t="s">
        <v>1018</v>
      </c>
      <c r="B1297" s="220"/>
      <c r="C1297" s="235">
        <v>59</v>
      </c>
      <c r="D1297" s="248">
        <f>D1298</f>
        <v>168</v>
      </c>
      <c r="E1297" s="214">
        <f>E1298</f>
        <v>0</v>
      </c>
      <c r="F1297" s="167">
        <f t="shared" si="69"/>
        <v>168</v>
      </c>
    </row>
    <row r="1298" spans="1:6" ht="20.25">
      <c r="A1298" s="219"/>
      <c r="B1298" s="366" t="s">
        <v>884</v>
      </c>
      <c r="C1298" s="224" t="s">
        <v>819</v>
      </c>
      <c r="D1298" s="248">
        <v>168</v>
      </c>
      <c r="E1298" s="214"/>
      <c r="F1298" s="167">
        <f t="shared" si="69"/>
        <v>168</v>
      </c>
    </row>
    <row r="1299" spans="1:6" ht="20.25" hidden="1">
      <c r="A1299" s="261" t="s">
        <v>475</v>
      </c>
      <c r="B1299" s="474"/>
      <c r="C1299" s="224">
        <v>70</v>
      </c>
      <c r="D1299" s="248"/>
      <c r="E1299" s="214"/>
      <c r="F1299" s="167">
        <f t="shared" si="69"/>
        <v>0</v>
      </c>
    </row>
    <row r="1300" spans="1:6" ht="20.25" hidden="1">
      <c r="A1300" s="226" t="s">
        <v>317</v>
      </c>
      <c r="B1300" s="474"/>
      <c r="C1300" s="224">
        <v>71</v>
      </c>
      <c r="D1300" s="248"/>
      <c r="E1300" s="214"/>
      <c r="F1300" s="167">
        <f t="shared" si="69"/>
        <v>0</v>
      </c>
    </row>
    <row r="1301" spans="1:6" ht="20.25" hidden="1">
      <c r="A1301" s="219" t="s">
        <v>127</v>
      </c>
      <c r="B1301" s="474"/>
      <c r="C1301" s="224" t="s">
        <v>80</v>
      </c>
      <c r="D1301" s="248"/>
      <c r="E1301" s="214"/>
      <c r="F1301" s="167">
        <f t="shared" si="69"/>
        <v>0</v>
      </c>
    </row>
    <row r="1302" spans="1:6" ht="20.25" hidden="1">
      <c r="A1302" s="219"/>
      <c r="B1302" s="218" t="s">
        <v>81</v>
      </c>
      <c r="C1302" s="241" t="s">
        <v>82</v>
      </c>
      <c r="D1302" s="248"/>
      <c r="E1302" s="214"/>
      <c r="F1302" s="167">
        <f t="shared" si="69"/>
        <v>0</v>
      </c>
    </row>
    <row r="1303" spans="1:6" ht="20.25" hidden="1">
      <c r="A1303" s="219"/>
      <c r="B1303" s="220" t="s">
        <v>83</v>
      </c>
      <c r="C1303" s="241" t="s">
        <v>84</v>
      </c>
      <c r="D1303" s="248"/>
      <c r="E1303" s="214"/>
      <c r="F1303" s="167">
        <f t="shared" si="69"/>
        <v>0</v>
      </c>
    </row>
    <row r="1304" spans="1:6" ht="20.25" hidden="1">
      <c r="A1304" s="219"/>
      <c r="B1304" s="220" t="s">
        <v>94</v>
      </c>
      <c r="C1304" s="241" t="s">
        <v>86</v>
      </c>
      <c r="D1304" s="248"/>
      <c r="E1304" s="214"/>
      <c r="F1304" s="167">
        <f t="shared" si="69"/>
        <v>0</v>
      </c>
    </row>
    <row r="1305" spans="1:6" ht="20.25" hidden="1">
      <c r="A1305" s="219"/>
      <c r="B1305" s="220" t="s">
        <v>87</v>
      </c>
      <c r="C1305" s="241" t="s">
        <v>88</v>
      </c>
      <c r="D1305" s="248"/>
      <c r="E1305" s="214"/>
      <c r="F1305" s="167">
        <f t="shared" si="69"/>
        <v>0</v>
      </c>
    </row>
    <row r="1306" spans="1:6" ht="20.25" hidden="1">
      <c r="A1306" s="526" t="s">
        <v>268</v>
      </c>
      <c r="B1306" s="529"/>
      <c r="C1306" s="241" t="s">
        <v>269</v>
      </c>
      <c r="D1306" s="248"/>
      <c r="E1306" s="214"/>
      <c r="F1306" s="167">
        <f t="shared" si="69"/>
        <v>0</v>
      </c>
    </row>
    <row r="1307" spans="1:6" ht="20.25" hidden="1">
      <c r="A1307" s="242"/>
      <c r="B1307" s="243"/>
      <c r="C1307" s="224"/>
      <c r="D1307" s="248"/>
      <c r="E1307" s="214"/>
      <c r="F1307" s="167">
        <f t="shared" si="69"/>
        <v>0</v>
      </c>
    </row>
    <row r="1308" spans="1:6" ht="20.25">
      <c r="A1308" s="236" t="s">
        <v>128</v>
      </c>
      <c r="B1308" s="220"/>
      <c r="C1308" s="224" t="s">
        <v>617</v>
      </c>
      <c r="D1308" s="248">
        <f>D1309</f>
        <v>2000</v>
      </c>
      <c r="E1308" s="214">
        <f>E1309</f>
        <v>0</v>
      </c>
      <c r="F1308" s="167">
        <f t="shared" si="69"/>
        <v>2000</v>
      </c>
    </row>
    <row r="1309" spans="1:6" ht="20.25">
      <c r="A1309" s="236"/>
      <c r="B1309" s="220" t="s">
        <v>129</v>
      </c>
      <c r="C1309" s="224" t="s">
        <v>130</v>
      </c>
      <c r="D1309" s="248">
        <f>1000+1000</f>
        <v>2000</v>
      </c>
      <c r="E1309" s="214"/>
      <c r="F1309" s="167">
        <f t="shared" si="69"/>
        <v>2000</v>
      </c>
    </row>
    <row r="1310" spans="1:6" ht="20.25">
      <c r="A1310" s="236"/>
      <c r="B1310" s="220" t="s">
        <v>351</v>
      </c>
      <c r="C1310" s="224" t="s">
        <v>352</v>
      </c>
      <c r="D1310" s="248">
        <f>13029+190+6+168</f>
        <v>13393</v>
      </c>
      <c r="E1310" s="214"/>
      <c r="F1310" s="167">
        <f t="shared" si="69"/>
        <v>13393</v>
      </c>
    </row>
    <row r="1311" spans="1:6" ht="20.25">
      <c r="A1311" s="244" t="s">
        <v>131</v>
      </c>
      <c r="B1311" s="475"/>
      <c r="C1311" s="224" t="s">
        <v>618</v>
      </c>
      <c r="D1311" s="367">
        <f>D1312</f>
        <v>0</v>
      </c>
      <c r="E1311" s="414">
        <f>E1312</f>
        <v>0</v>
      </c>
      <c r="F1311" s="167">
        <f t="shared" si="69"/>
        <v>0</v>
      </c>
    </row>
    <row r="1312" spans="1:6" ht="20.25">
      <c r="A1312" s="244"/>
      <c r="B1312" s="220" t="s">
        <v>132</v>
      </c>
      <c r="C1312" s="224" t="s">
        <v>133</v>
      </c>
      <c r="D1312" s="490"/>
      <c r="E1312" s="214"/>
      <c r="F1312" s="167">
        <f t="shared" si="69"/>
        <v>0</v>
      </c>
    </row>
    <row r="1313" spans="1:7" ht="20.25" hidden="1">
      <c r="A1313" s="244"/>
      <c r="B1313" s="220"/>
      <c r="C1313" s="224"/>
      <c r="D1313" s="248"/>
      <c r="E1313" s="214"/>
      <c r="F1313" s="167">
        <f t="shared" si="69"/>
        <v>0</v>
      </c>
    </row>
    <row r="1314" spans="1:7" ht="20.25">
      <c r="A1314" s="263"/>
      <c r="B1314" s="264" t="s">
        <v>134</v>
      </c>
      <c r="C1314" s="202" t="s">
        <v>573</v>
      </c>
      <c r="D1314" s="350">
        <f>D1344+D1354+D1358+D1359</f>
        <v>33560.050000000003</v>
      </c>
      <c r="E1314" s="409">
        <f>E1344+E1354+E1358+E1359</f>
        <v>0</v>
      </c>
      <c r="F1314" s="167">
        <f t="shared" si="69"/>
        <v>33560.050000000003</v>
      </c>
    </row>
    <row r="1315" spans="1:7" ht="20.25">
      <c r="A1315" s="219" t="s">
        <v>917</v>
      </c>
      <c r="B1315" s="474"/>
      <c r="C1315" s="235" t="s">
        <v>49</v>
      </c>
      <c r="D1315" s="367">
        <f>D1316+D1317+D1318+D1321+D1326+D1324</f>
        <v>33583.300000000003</v>
      </c>
      <c r="E1315" s="414">
        <f>E1316+E1317+E1318+E1321+E1326+E1324</f>
        <v>0</v>
      </c>
      <c r="F1315" s="167">
        <f t="shared" si="69"/>
        <v>33583.300000000003</v>
      </c>
    </row>
    <row r="1316" spans="1:7" ht="20.25" hidden="1">
      <c r="A1316" s="204" t="s">
        <v>561</v>
      </c>
      <c r="B1316" s="474"/>
      <c r="C1316" s="235">
        <v>10</v>
      </c>
      <c r="D1316" s="248"/>
      <c r="E1316" s="214"/>
      <c r="F1316" s="167">
        <f t="shared" si="69"/>
        <v>0</v>
      </c>
    </row>
    <row r="1317" spans="1:7" ht="20.25">
      <c r="A1317" s="206" t="s">
        <v>562</v>
      </c>
      <c r="B1317" s="474"/>
      <c r="C1317" s="224">
        <v>20</v>
      </c>
      <c r="D1317" s="248">
        <f>1520+340.8+2000+50</f>
        <v>3910.8</v>
      </c>
      <c r="E1317" s="214"/>
      <c r="F1317" s="167">
        <f t="shared" si="69"/>
        <v>3910.8</v>
      </c>
    </row>
    <row r="1318" spans="1:7" ht="20.25">
      <c r="A1318" s="219" t="s">
        <v>135</v>
      </c>
      <c r="B1318" s="474"/>
      <c r="C1318" s="235" t="s">
        <v>592</v>
      </c>
      <c r="D1318" s="367">
        <f>D1319</f>
        <v>26439</v>
      </c>
      <c r="E1318" s="414">
        <f>E1319</f>
        <v>-155</v>
      </c>
      <c r="F1318" s="167">
        <f t="shared" si="69"/>
        <v>26284</v>
      </c>
    </row>
    <row r="1319" spans="1:7" ht="20.25">
      <c r="A1319" s="219" t="s">
        <v>55</v>
      </c>
      <c r="B1319" s="474"/>
      <c r="C1319" s="224" t="s">
        <v>56</v>
      </c>
      <c r="D1319" s="367">
        <f>D1320</f>
        <v>26439</v>
      </c>
      <c r="E1319" s="414">
        <f>E1320</f>
        <v>-155</v>
      </c>
      <c r="F1319" s="167">
        <f t="shared" si="69"/>
        <v>26284</v>
      </c>
    </row>
    <row r="1320" spans="1:7" ht="20.25">
      <c r="A1320" s="215"/>
      <c r="B1320" s="222" t="s">
        <v>100</v>
      </c>
      <c r="C1320" s="235" t="s">
        <v>58</v>
      </c>
      <c r="D1320" s="248">
        <f>6000+8500+389+800+4000+100+6650</f>
        <v>26439</v>
      </c>
      <c r="E1320" s="214">
        <v>-155</v>
      </c>
      <c r="F1320" s="167">
        <f t="shared" si="69"/>
        <v>26284</v>
      </c>
    </row>
    <row r="1321" spans="1:7" ht="20.25" hidden="1">
      <c r="A1321" s="219"/>
      <c r="B1321" s="474"/>
      <c r="C1321" s="235" t="s">
        <v>159</v>
      </c>
      <c r="D1321" s="248"/>
      <c r="E1321" s="214"/>
      <c r="F1321" s="167">
        <f t="shared" si="69"/>
        <v>0</v>
      </c>
    </row>
    <row r="1322" spans="1:7" ht="20.25" hidden="1">
      <c r="A1322" s="219" t="s">
        <v>895</v>
      </c>
      <c r="B1322" s="474"/>
      <c r="C1322" s="235" t="s">
        <v>67</v>
      </c>
      <c r="D1322" s="248"/>
      <c r="E1322" s="214"/>
      <c r="F1322" s="167">
        <f t="shared" si="69"/>
        <v>0</v>
      </c>
    </row>
    <row r="1323" spans="1:7" ht="20.25" hidden="1">
      <c r="A1323" s="215"/>
      <c r="B1323" s="222" t="s">
        <v>624</v>
      </c>
      <c r="C1323" s="235" t="s">
        <v>625</v>
      </c>
      <c r="D1323" s="248"/>
      <c r="E1323" s="214"/>
      <c r="F1323" s="167">
        <f t="shared" si="69"/>
        <v>0</v>
      </c>
    </row>
    <row r="1324" spans="1:7" ht="36" hidden="1">
      <c r="A1324" s="215"/>
      <c r="B1324" s="208" t="s">
        <v>321</v>
      </c>
      <c r="C1324" s="235">
        <v>56</v>
      </c>
      <c r="D1324" s="248"/>
      <c r="E1324" s="214"/>
      <c r="F1324" s="167">
        <f t="shared" si="69"/>
        <v>0</v>
      </c>
    </row>
    <row r="1325" spans="1:7" ht="20.25" hidden="1">
      <c r="A1325" s="215"/>
      <c r="B1325" s="222" t="s">
        <v>315</v>
      </c>
      <c r="C1325" s="224" t="s">
        <v>324</v>
      </c>
      <c r="D1325" s="248"/>
      <c r="E1325" s="214"/>
      <c r="F1325" s="167">
        <f t="shared" si="69"/>
        <v>0</v>
      </c>
    </row>
    <row r="1326" spans="1:7" ht="20.25">
      <c r="A1326" s="237" t="s">
        <v>659</v>
      </c>
      <c r="B1326" s="474"/>
      <c r="C1326" s="235">
        <v>59</v>
      </c>
      <c r="D1326" s="248">
        <f>D1327+D1328</f>
        <v>3233.5</v>
      </c>
      <c r="E1326" s="214">
        <f>E1328+E1327</f>
        <v>155</v>
      </c>
      <c r="F1326" s="167">
        <f t="shared" si="69"/>
        <v>3388.5</v>
      </c>
    </row>
    <row r="1327" spans="1:7" ht="20.25" hidden="1">
      <c r="A1327" s="227" t="s">
        <v>136</v>
      </c>
      <c r="B1327" s="474"/>
      <c r="C1327" s="235" t="s">
        <v>619</v>
      </c>
      <c r="D1327" s="490">
        <f>883.5-255+100+1300</f>
        <v>2028.5</v>
      </c>
      <c r="E1327" s="421"/>
      <c r="F1327" s="167">
        <f t="shared" si="69"/>
        <v>2028.5</v>
      </c>
      <c r="G1327" s="515" t="s">
        <v>989</v>
      </c>
    </row>
    <row r="1328" spans="1:7" ht="20.25" hidden="1">
      <c r="A1328" s="227" t="s">
        <v>137</v>
      </c>
      <c r="B1328" s="474"/>
      <c r="C1328" s="235" t="s">
        <v>620</v>
      </c>
      <c r="D1328" s="490">
        <f>255+1000-50</f>
        <v>1205</v>
      </c>
      <c r="E1328" s="214">
        <v>155</v>
      </c>
      <c r="F1328" s="167">
        <f t="shared" si="69"/>
        <v>1360</v>
      </c>
      <c r="G1328" s="515"/>
    </row>
    <row r="1329" spans="1:6" ht="20.25" hidden="1">
      <c r="A1329" s="227" t="s">
        <v>407</v>
      </c>
      <c r="B1329" s="474"/>
      <c r="C1329" s="235" t="s">
        <v>265</v>
      </c>
      <c r="D1329" s="248"/>
      <c r="E1329" s="214"/>
      <c r="F1329" s="167">
        <f t="shared" si="69"/>
        <v>0</v>
      </c>
    </row>
    <row r="1330" spans="1:6" ht="20.25" hidden="1">
      <c r="A1330" s="231"/>
      <c r="B1330" s="474"/>
      <c r="C1330" s="224">
        <v>70</v>
      </c>
      <c r="D1330" s="248"/>
      <c r="E1330" s="214"/>
      <c r="F1330" s="167">
        <f t="shared" si="69"/>
        <v>0</v>
      </c>
    </row>
    <row r="1331" spans="1:6" ht="20.25" hidden="1">
      <c r="A1331" s="238"/>
      <c r="B1331" s="474"/>
      <c r="C1331" s="224">
        <v>71</v>
      </c>
      <c r="D1331" s="248"/>
      <c r="E1331" s="214"/>
      <c r="F1331" s="167">
        <f t="shared" si="69"/>
        <v>0</v>
      </c>
    </row>
    <row r="1332" spans="1:6" ht="20.25" hidden="1">
      <c r="A1332" s="219" t="s">
        <v>127</v>
      </c>
      <c r="B1332" s="474"/>
      <c r="C1332" s="224" t="s">
        <v>80</v>
      </c>
      <c r="D1332" s="248"/>
      <c r="E1332" s="214"/>
      <c r="F1332" s="167">
        <f t="shared" si="69"/>
        <v>0</v>
      </c>
    </row>
    <row r="1333" spans="1:6" ht="20.25" hidden="1">
      <c r="A1333" s="219"/>
      <c r="B1333" s="218" t="s">
        <v>81</v>
      </c>
      <c r="C1333" s="241" t="s">
        <v>82</v>
      </c>
      <c r="D1333" s="248"/>
      <c r="E1333" s="214"/>
      <c r="F1333" s="167">
        <f t="shared" si="69"/>
        <v>0</v>
      </c>
    </row>
    <row r="1334" spans="1:6" ht="20.25" hidden="1">
      <c r="A1334" s="219"/>
      <c r="B1334" s="220" t="s">
        <v>83</v>
      </c>
      <c r="C1334" s="241" t="s">
        <v>84</v>
      </c>
      <c r="D1334" s="248"/>
      <c r="E1334" s="214"/>
      <c r="F1334" s="167">
        <f t="shared" si="69"/>
        <v>0</v>
      </c>
    </row>
    <row r="1335" spans="1:6" ht="20.25" hidden="1">
      <c r="A1335" s="219"/>
      <c r="B1335" s="220" t="s">
        <v>94</v>
      </c>
      <c r="C1335" s="241" t="s">
        <v>86</v>
      </c>
      <c r="D1335" s="248"/>
      <c r="E1335" s="214"/>
      <c r="F1335" s="167">
        <f t="shared" si="69"/>
        <v>0</v>
      </c>
    </row>
    <row r="1336" spans="1:6" ht="20.25" hidden="1">
      <c r="A1336" s="219"/>
      <c r="B1336" s="220" t="s">
        <v>87</v>
      </c>
      <c r="C1336" s="241" t="s">
        <v>88</v>
      </c>
      <c r="D1336" s="248"/>
      <c r="E1336" s="214"/>
      <c r="F1336" s="167">
        <f t="shared" si="69"/>
        <v>0</v>
      </c>
    </row>
    <row r="1337" spans="1:6" ht="20.25" hidden="1">
      <c r="A1337" s="526" t="s">
        <v>268</v>
      </c>
      <c r="B1337" s="529"/>
      <c r="C1337" s="241" t="s">
        <v>269</v>
      </c>
      <c r="D1337" s="248"/>
      <c r="E1337" s="214"/>
      <c r="F1337" s="167">
        <f t="shared" si="69"/>
        <v>0</v>
      </c>
    </row>
    <row r="1338" spans="1:6" ht="20.25" hidden="1">
      <c r="A1338" s="215"/>
      <c r="B1338" s="220"/>
      <c r="C1338" s="224">
        <v>79</v>
      </c>
      <c r="D1338" s="248"/>
      <c r="E1338" s="214"/>
      <c r="F1338" s="167">
        <f t="shared" si="69"/>
        <v>0</v>
      </c>
    </row>
    <row r="1339" spans="1:6" ht="20.25" hidden="1">
      <c r="A1339" s="219"/>
      <c r="B1339" s="220"/>
      <c r="C1339" s="224">
        <v>81</v>
      </c>
      <c r="D1339" s="248"/>
      <c r="E1339" s="214"/>
      <c r="F1339" s="167">
        <f t="shared" si="69"/>
        <v>0</v>
      </c>
    </row>
    <row r="1340" spans="1:6" ht="20.25" hidden="1">
      <c r="A1340" s="206" t="s">
        <v>629</v>
      </c>
      <c r="B1340" s="220"/>
      <c r="C1340" s="224" t="s">
        <v>602</v>
      </c>
      <c r="D1340" s="248"/>
      <c r="E1340" s="214"/>
      <c r="F1340" s="167">
        <f t="shared" si="69"/>
        <v>0</v>
      </c>
    </row>
    <row r="1341" spans="1:6" ht="20.25">
      <c r="A1341" s="206" t="s">
        <v>1015</v>
      </c>
      <c r="B1341" s="220"/>
      <c r="C1341" s="224">
        <v>85</v>
      </c>
      <c r="D1341" s="367">
        <f>D1342</f>
        <v>-23.25</v>
      </c>
      <c r="E1341" s="414">
        <f>E1342</f>
        <v>0</v>
      </c>
      <c r="F1341" s="167">
        <f t="shared" si="69"/>
        <v>-23.25</v>
      </c>
    </row>
    <row r="1342" spans="1:6" ht="20.25">
      <c r="A1342" s="206"/>
      <c r="B1342" s="220" t="s">
        <v>311</v>
      </c>
      <c r="C1342" s="224" t="s">
        <v>312</v>
      </c>
      <c r="D1342" s="248">
        <f>-7.25-16</f>
        <v>-23.25</v>
      </c>
      <c r="E1342" s="214"/>
      <c r="F1342" s="167">
        <f t="shared" si="69"/>
        <v>-23.25</v>
      </c>
    </row>
    <row r="1343" spans="1:6" ht="20.25" hidden="1">
      <c r="A1343" s="242" t="s">
        <v>871</v>
      </c>
      <c r="B1343" s="243"/>
      <c r="C1343" s="224"/>
      <c r="D1343" s="248"/>
      <c r="E1343" s="214"/>
      <c r="F1343" s="167">
        <f t="shared" si="69"/>
        <v>0</v>
      </c>
    </row>
    <row r="1344" spans="1:6" ht="20.25">
      <c r="A1344" s="273" t="s">
        <v>138</v>
      </c>
      <c r="B1344" s="274"/>
      <c r="C1344" s="224" t="s">
        <v>139</v>
      </c>
      <c r="D1344" s="367">
        <f>SUM(D1345:D1353)</f>
        <v>9526.75</v>
      </c>
      <c r="E1344" s="414">
        <f>SUM(E1345:E1353)</f>
        <v>0</v>
      </c>
      <c r="F1344" s="167">
        <f t="shared" si="69"/>
        <v>9526.75</v>
      </c>
    </row>
    <row r="1345" spans="1:6" ht="20.25" hidden="1">
      <c r="A1345" s="244"/>
      <c r="B1345" s="220" t="s">
        <v>408</v>
      </c>
      <c r="C1345" s="275" t="s">
        <v>409</v>
      </c>
      <c r="D1345" s="248"/>
      <c r="E1345" s="214"/>
      <c r="F1345" s="167">
        <f t="shared" si="69"/>
        <v>0</v>
      </c>
    </row>
    <row r="1346" spans="1:6" ht="20.25" hidden="1">
      <c r="A1346" s="244"/>
      <c r="B1346" s="220" t="s">
        <v>410</v>
      </c>
      <c r="C1346" s="275" t="s">
        <v>411</v>
      </c>
      <c r="D1346" s="248"/>
      <c r="E1346" s="214"/>
      <c r="F1346" s="167">
        <f t="shared" si="69"/>
        <v>0</v>
      </c>
    </row>
    <row r="1347" spans="1:6" ht="20.25">
      <c r="A1347" s="244"/>
      <c r="B1347" s="220" t="s">
        <v>140</v>
      </c>
      <c r="C1347" s="275" t="s">
        <v>621</v>
      </c>
      <c r="D1347" s="248">
        <f>-7.25+6000+100+2634</f>
        <v>8726.75</v>
      </c>
      <c r="E1347" s="214"/>
      <c r="F1347" s="167">
        <f t="shared" ref="F1347:F1410" si="70">D1347+E1347</f>
        <v>8726.75</v>
      </c>
    </row>
    <row r="1348" spans="1:6" ht="20.25" hidden="1">
      <c r="A1348" s="244"/>
      <c r="B1348" s="220" t="s">
        <v>412</v>
      </c>
      <c r="C1348" s="275" t="s">
        <v>413</v>
      </c>
      <c r="D1348" s="248"/>
      <c r="E1348" s="214"/>
      <c r="F1348" s="167">
        <f t="shared" si="70"/>
        <v>0</v>
      </c>
    </row>
    <row r="1349" spans="1:6" ht="20.25" hidden="1">
      <c r="A1349" s="244"/>
      <c r="B1349" s="220" t="s">
        <v>414</v>
      </c>
      <c r="C1349" s="275" t="s">
        <v>415</v>
      </c>
      <c r="D1349" s="248"/>
      <c r="E1349" s="214"/>
      <c r="F1349" s="167">
        <f t="shared" si="70"/>
        <v>0</v>
      </c>
    </row>
    <row r="1350" spans="1:6" ht="20.25" hidden="1">
      <c r="A1350" s="244"/>
      <c r="B1350" s="220" t="s">
        <v>574</v>
      </c>
      <c r="C1350" s="275" t="s">
        <v>575</v>
      </c>
      <c r="D1350" s="248"/>
      <c r="E1350" s="214"/>
      <c r="F1350" s="167">
        <f t="shared" si="70"/>
        <v>0</v>
      </c>
    </row>
    <row r="1351" spans="1:6" ht="20.25" hidden="1">
      <c r="A1351" s="244"/>
      <c r="B1351" s="220" t="s">
        <v>416</v>
      </c>
      <c r="C1351" s="275" t="s">
        <v>417</v>
      </c>
      <c r="D1351" s="248"/>
      <c r="E1351" s="214"/>
      <c r="F1351" s="167">
        <f t="shared" si="70"/>
        <v>0</v>
      </c>
    </row>
    <row r="1352" spans="1:6" ht="20.25" hidden="1">
      <c r="A1352" s="244"/>
      <c r="B1352" s="220" t="s">
        <v>418</v>
      </c>
      <c r="C1352" s="275" t="s">
        <v>419</v>
      </c>
      <c r="D1352" s="248"/>
      <c r="E1352" s="214"/>
      <c r="F1352" s="167">
        <f t="shared" si="70"/>
        <v>0</v>
      </c>
    </row>
    <row r="1353" spans="1:6" ht="20.25">
      <c r="A1353" s="244"/>
      <c r="B1353" s="220" t="s">
        <v>420</v>
      </c>
      <c r="C1353" s="275" t="s">
        <v>421</v>
      </c>
      <c r="D1353" s="248">
        <v>800</v>
      </c>
      <c r="E1353" s="214"/>
      <c r="F1353" s="167">
        <f t="shared" si="70"/>
        <v>800</v>
      </c>
    </row>
    <row r="1354" spans="1:6" ht="20.25">
      <c r="A1354" s="244" t="s">
        <v>141</v>
      </c>
      <c r="B1354" s="220"/>
      <c r="C1354" s="224" t="s">
        <v>142</v>
      </c>
      <c r="D1354" s="367">
        <f>D1355+D1356</f>
        <v>18918.5</v>
      </c>
      <c r="E1354" s="414">
        <f>E1355+E1356+E1357</f>
        <v>0</v>
      </c>
      <c r="F1354" s="167">
        <f t="shared" si="70"/>
        <v>18918.5</v>
      </c>
    </row>
    <row r="1355" spans="1:6" ht="20.25">
      <c r="A1355" s="244"/>
      <c r="B1355" s="220" t="s">
        <v>576</v>
      </c>
      <c r="C1355" s="275" t="s">
        <v>577</v>
      </c>
      <c r="D1355" s="248">
        <f>465.5+8500+389+4000+100+5300</f>
        <v>18754.5</v>
      </c>
      <c r="E1355" s="214"/>
      <c r="F1355" s="167">
        <f t="shared" si="70"/>
        <v>18754.5</v>
      </c>
    </row>
    <row r="1356" spans="1:6" ht="20.25">
      <c r="A1356" s="244"/>
      <c r="B1356" s="220" t="s">
        <v>578</v>
      </c>
      <c r="C1356" s="275" t="s">
        <v>579</v>
      </c>
      <c r="D1356" s="248">
        <v>164</v>
      </c>
      <c r="E1356" s="214"/>
      <c r="F1356" s="167">
        <f t="shared" si="70"/>
        <v>164</v>
      </c>
    </row>
    <row r="1357" spans="1:6" ht="35.25" hidden="1" customHeight="1">
      <c r="A1357" s="244"/>
      <c r="B1357" s="220" t="s">
        <v>143</v>
      </c>
      <c r="C1357" s="275" t="s">
        <v>144</v>
      </c>
      <c r="D1357" s="248"/>
      <c r="E1357" s="214"/>
      <c r="F1357" s="167">
        <f t="shared" si="70"/>
        <v>0</v>
      </c>
    </row>
    <row r="1358" spans="1:6" ht="20.25">
      <c r="A1358" s="244" t="s">
        <v>422</v>
      </c>
      <c r="B1358" s="396"/>
      <c r="C1358" s="224" t="s">
        <v>423</v>
      </c>
      <c r="D1358" s="248">
        <f>255+1000-100</f>
        <v>1155</v>
      </c>
      <c r="E1358" s="214"/>
      <c r="F1358" s="167">
        <f t="shared" si="70"/>
        <v>1155</v>
      </c>
    </row>
    <row r="1359" spans="1:6" ht="20.25">
      <c r="A1359" s="244" t="s">
        <v>145</v>
      </c>
      <c r="B1359" s="396"/>
      <c r="C1359" s="389" t="s">
        <v>580</v>
      </c>
      <c r="D1359" s="248">
        <f>99+1520+240.8+2000+100</f>
        <v>3959.8</v>
      </c>
      <c r="E1359" s="214"/>
      <c r="F1359" s="167">
        <f t="shared" si="70"/>
        <v>3959.8</v>
      </c>
    </row>
    <row r="1360" spans="1:6" ht="20.25" hidden="1">
      <c r="A1360" s="271"/>
      <c r="B1360" s="474"/>
      <c r="C1360" s="224"/>
      <c r="D1360" s="248"/>
      <c r="E1360" s="214"/>
      <c r="F1360" s="167">
        <f t="shared" si="70"/>
        <v>0</v>
      </c>
    </row>
    <row r="1361" spans="1:6" ht="20.25">
      <c r="A1361" s="255"/>
      <c r="B1361" s="264" t="s">
        <v>146</v>
      </c>
      <c r="C1361" s="202" t="s">
        <v>581</v>
      </c>
      <c r="D1361" s="350">
        <f>D1396+D1397+D1399+D1400+D1401+D1402+D1405</f>
        <v>90468</v>
      </c>
      <c r="E1361" s="409">
        <f>E1396+E1397+E1399+E1400+E1401+E1402+E1405</f>
        <v>0</v>
      </c>
      <c r="F1361" s="167">
        <f t="shared" si="70"/>
        <v>90468</v>
      </c>
    </row>
    <row r="1362" spans="1:6" ht="20.25">
      <c r="A1362" s="247" t="s">
        <v>99</v>
      </c>
      <c r="B1362" s="474"/>
      <c r="C1362" s="235" t="s">
        <v>49</v>
      </c>
      <c r="D1362" s="367">
        <f>D1363+D1364+D1373+D1375+D1380</f>
        <v>90468</v>
      </c>
      <c r="E1362" s="414">
        <f>E1363+E1364+E1373+E1375+E1380</f>
        <v>0</v>
      </c>
      <c r="F1362" s="167">
        <f t="shared" si="70"/>
        <v>90468</v>
      </c>
    </row>
    <row r="1363" spans="1:6" ht="20.25">
      <c r="A1363" s="204" t="s">
        <v>561</v>
      </c>
      <c r="B1363" s="474"/>
      <c r="C1363" s="235">
        <v>10</v>
      </c>
      <c r="D1363" s="248">
        <v>48464</v>
      </c>
      <c r="E1363" s="214"/>
      <c r="F1363" s="167">
        <f t="shared" si="70"/>
        <v>48464</v>
      </c>
    </row>
    <row r="1364" spans="1:6" ht="20.25">
      <c r="A1364" s="206" t="s">
        <v>562</v>
      </c>
      <c r="B1364" s="474"/>
      <c r="C1364" s="224">
        <v>20</v>
      </c>
      <c r="D1364" s="248">
        <f>7672+300-160+565</f>
        <v>8377</v>
      </c>
      <c r="E1364" s="214"/>
      <c r="F1364" s="167">
        <f t="shared" si="70"/>
        <v>8377</v>
      </c>
    </row>
    <row r="1365" spans="1:6" ht="20.25" hidden="1">
      <c r="A1365" s="219" t="s">
        <v>591</v>
      </c>
      <c r="B1365" s="474"/>
      <c r="C1365" s="235" t="s">
        <v>592</v>
      </c>
      <c r="D1365" s="248"/>
      <c r="E1365" s="214"/>
      <c r="F1365" s="167">
        <f t="shared" si="70"/>
        <v>0</v>
      </c>
    </row>
    <row r="1366" spans="1:6" ht="20.25" hidden="1">
      <c r="A1366" s="215"/>
      <c r="B1366" s="474"/>
      <c r="C1366" s="224" t="s">
        <v>56</v>
      </c>
      <c r="D1366" s="248"/>
      <c r="E1366" s="214"/>
      <c r="F1366" s="167">
        <f t="shared" si="70"/>
        <v>0</v>
      </c>
    </row>
    <row r="1367" spans="1:6" ht="20.25" hidden="1">
      <c r="A1367" s="215"/>
      <c r="B1367" s="222" t="s">
        <v>100</v>
      </c>
      <c r="C1367" s="235" t="s">
        <v>58</v>
      </c>
      <c r="D1367" s="248"/>
      <c r="E1367" s="214"/>
      <c r="F1367" s="167">
        <f t="shared" si="70"/>
        <v>0</v>
      </c>
    </row>
    <row r="1368" spans="1:6" ht="20.25" hidden="1">
      <c r="A1368" s="219" t="s">
        <v>612</v>
      </c>
      <c r="B1368" s="474"/>
      <c r="C1368" s="235" t="s">
        <v>159</v>
      </c>
      <c r="D1368" s="248"/>
      <c r="E1368" s="214"/>
      <c r="F1368" s="167">
        <f t="shared" si="70"/>
        <v>0</v>
      </c>
    </row>
    <row r="1369" spans="1:6" ht="20.25" hidden="1">
      <c r="A1369" s="215"/>
      <c r="B1369" s="474" t="s">
        <v>353</v>
      </c>
      <c r="C1369" s="235" t="s">
        <v>67</v>
      </c>
      <c r="D1369" s="248"/>
      <c r="E1369" s="214"/>
      <c r="F1369" s="167">
        <f t="shared" si="70"/>
        <v>0</v>
      </c>
    </row>
    <row r="1370" spans="1:6" ht="20.25" hidden="1">
      <c r="A1370" s="215"/>
      <c r="B1370" s="222" t="s">
        <v>424</v>
      </c>
      <c r="C1370" s="235" t="s">
        <v>256</v>
      </c>
      <c r="D1370" s="248"/>
      <c r="E1370" s="214"/>
      <c r="F1370" s="167">
        <f t="shared" si="70"/>
        <v>0</v>
      </c>
    </row>
    <row r="1371" spans="1:6" ht="20.25" hidden="1">
      <c r="A1371" s="215"/>
      <c r="B1371" s="220" t="s">
        <v>285</v>
      </c>
      <c r="C1371" s="224" t="s">
        <v>258</v>
      </c>
      <c r="D1371" s="248"/>
      <c r="E1371" s="214"/>
      <c r="F1371" s="167">
        <f t="shared" si="70"/>
        <v>0</v>
      </c>
    </row>
    <row r="1372" spans="1:6" ht="20.25" hidden="1">
      <c r="A1372" s="215"/>
      <c r="B1372" s="222" t="s">
        <v>322</v>
      </c>
      <c r="C1372" s="235" t="s">
        <v>258</v>
      </c>
      <c r="D1372" s="248"/>
      <c r="E1372" s="214"/>
      <c r="F1372" s="167">
        <f t="shared" si="70"/>
        <v>0</v>
      </c>
    </row>
    <row r="1373" spans="1:6" ht="19.5" hidden="1" customHeight="1">
      <c r="A1373" s="215"/>
      <c r="B1373" s="208" t="s">
        <v>321</v>
      </c>
      <c r="C1373" s="235">
        <v>56</v>
      </c>
      <c r="D1373" s="248">
        <f>D1374</f>
        <v>0</v>
      </c>
      <c r="E1373" s="214">
        <f>E1374</f>
        <v>0</v>
      </c>
      <c r="F1373" s="167">
        <f t="shared" si="70"/>
        <v>0</v>
      </c>
    </row>
    <row r="1374" spans="1:6" ht="20.25" hidden="1" customHeight="1">
      <c r="A1374" s="215"/>
      <c r="B1374" s="222" t="s">
        <v>354</v>
      </c>
      <c r="C1374" s="235">
        <v>56.01</v>
      </c>
      <c r="D1374" s="248"/>
      <c r="E1374" s="214"/>
      <c r="F1374" s="167">
        <f t="shared" si="70"/>
        <v>0</v>
      </c>
    </row>
    <row r="1375" spans="1:6" ht="20.25">
      <c r="A1375" s="219" t="s">
        <v>316</v>
      </c>
      <c r="B1375" s="474"/>
      <c r="C1375" s="235">
        <v>57</v>
      </c>
      <c r="D1375" s="248">
        <f>D1376</f>
        <v>32188</v>
      </c>
      <c r="E1375" s="214">
        <f>E1376</f>
        <v>0</v>
      </c>
      <c r="F1375" s="167">
        <f t="shared" si="70"/>
        <v>32188</v>
      </c>
    </row>
    <row r="1376" spans="1:6" ht="20.25">
      <c r="A1376" s="225" t="s">
        <v>147</v>
      </c>
      <c r="B1376" s="474"/>
      <c r="C1376" s="235" t="s">
        <v>70</v>
      </c>
      <c r="D1376" s="367">
        <f>D1377+D1378+D1379</f>
        <v>32188</v>
      </c>
      <c r="E1376" s="414">
        <f>E1377+E1378+E1379</f>
        <v>0</v>
      </c>
      <c r="F1376" s="167">
        <f t="shared" si="70"/>
        <v>32188</v>
      </c>
    </row>
    <row r="1377" spans="1:7" ht="20.25" hidden="1">
      <c r="A1377" s="215"/>
      <c r="B1377" s="475" t="s">
        <v>71</v>
      </c>
      <c r="C1377" s="235" t="s">
        <v>72</v>
      </c>
      <c r="D1377" s="490"/>
      <c r="E1377" s="214"/>
      <c r="F1377" s="387">
        <f t="shared" si="70"/>
        <v>0</v>
      </c>
      <c r="G1377" s="142"/>
    </row>
    <row r="1378" spans="1:7" ht="20.25" hidden="1">
      <c r="A1378" s="215"/>
      <c r="B1378" s="475" t="s">
        <v>126</v>
      </c>
      <c r="C1378" s="235" t="s">
        <v>74</v>
      </c>
      <c r="D1378" s="248">
        <f>31738+160+290</f>
        <v>32188</v>
      </c>
      <c r="E1378" s="214"/>
      <c r="F1378" s="167">
        <f t="shared" si="70"/>
        <v>32188</v>
      </c>
      <c r="G1378" s="139" t="s">
        <v>989</v>
      </c>
    </row>
    <row r="1379" spans="1:7" ht="20.25" hidden="1">
      <c r="A1379" s="215"/>
      <c r="B1379" s="475" t="s">
        <v>314</v>
      </c>
      <c r="C1379" s="224" t="s">
        <v>292</v>
      </c>
      <c r="D1379" s="248"/>
      <c r="E1379" s="214"/>
      <c r="F1379" s="167">
        <f t="shared" si="70"/>
        <v>0</v>
      </c>
    </row>
    <row r="1380" spans="1:7" ht="22.5" customHeight="1">
      <c r="A1380" s="237" t="s">
        <v>659</v>
      </c>
      <c r="B1380" s="474"/>
      <c r="C1380" s="235">
        <v>59</v>
      </c>
      <c r="D1380" s="248">
        <f>1294+145</f>
        <v>1439</v>
      </c>
      <c r="E1380" s="214"/>
      <c r="F1380" s="167">
        <f t="shared" si="70"/>
        <v>1439</v>
      </c>
    </row>
    <row r="1381" spans="1:7" ht="22.5" hidden="1" customHeight="1">
      <c r="A1381" s="386" t="s">
        <v>136</v>
      </c>
      <c r="B1381" s="474"/>
      <c r="C1381" s="235" t="s">
        <v>619</v>
      </c>
      <c r="D1381" s="248">
        <f>1386</f>
        <v>1386</v>
      </c>
      <c r="E1381" s="214">
        <v>5</v>
      </c>
      <c r="F1381" s="167">
        <f t="shared" si="70"/>
        <v>1391</v>
      </c>
    </row>
    <row r="1382" spans="1:7" ht="22.5" hidden="1" customHeight="1">
      <c r="A1382" s="261" t="s">
        <v>116</v>
      </c>
      <c r="B1382" s="474"/>
      <c r="C1382" s="224">
        <v>70</v>
      </c>
      <c r="D1382" s="367">
        <f>D1383</f>
        <v>0</v>
      </c>
      <c r="E1382" s="414">
        <f>E1383</f>
        <v>0</v>
      </c>
      <c r="F1382" s="167">
        <f t="shared" si="70"/>
        <v>0</v>
      </c>
    </row>
    <row r="1383" spans="1:7" ht="22.5" hidden="1" customHeight="1">
      <c r="A1383" s="238"/>
      <c r="B1383" s="474"/>
      <c r="C1383" s="224">
        <v>71</v>
      </c>
      <c r="D1383" s="248">
        <f>D1384+D1389</f>
        <v>0</v>
      </c>
      <c r="E1383" s="214">
        <f>E1384+E1389</f>
        <v>0</v>
      </c>
      <c r="F1383" s="167">
        <f t="shared" si="70"/>
        <v>0</v>
      </c>
    </row>
    <row r="1384" spans="1:7" ht="22.5" hidden="1" customHeight="1">
      <c r="A1384" s="219" t="s">
        <v>127</v>
      </c>
      <c r="B1384" s="474"/>
      <c r="C1384" s="224" t="s">
        <v>80</v>
      </c>
      <c r="D1384" s="248">
        <f>D1385+D1386+D1387+D1388</f>
        <v>0</v>
      </c>
      <c r="E1384" s="214">
        <f>E1385+E1386+E1387+E1388</f>
        <v>0</v>
      </c>
      <c r="F1384" s="167">
        <f t="shared" si="70"/>
        <v>0</v>
      </c>
    </row>
    <row r="1385" spans="1:7" ht="22.5" hidden="1" customHeight="1">
      <c r="A1385" s="219"/>
      <c r="B1385" s="218" t="s">
        <v>81</v>
      </c>
      <c r="C1385" s="241" t="s">
        <v>82</v>
      </c>
      <c r="D1385" s="248"/>
      <c r="E1385" s="214"/>
      <c r="F1385" s="167">
        <f t="shared" si="70"/>
        <v>0</v>
      </c>
    </row>
    <row r="1386" spans="1:7" ht="22.5" hidden="1" customHeight="1">
      <c r="A1386" s="219"/>
      <c r="B1386" s="220" t="s">
        <v>83</v>
      </c>
      <c r="C1386" s="241" t="s">
        <v>84</v>
      </c>
      <c r="D1386" s="248"/>
      <c r="E1386" s="214"/>
      <c r="F1386" s="167">
        <f t="shared" si="70"/>
        <v>0</v>
      </c>
    </row>
    <row r="1387" spans="1:7" ht="22.5" hidden="1" customHeight="1">
      <c r="A1387" s="219"/>
      <c r="B1387" s="220" t="s">
        <v>94</v>
      </c>
      <c r="C1387" s="241" t="s">
        <v>86</v>
      </c>
      <c r="D1387" s="248"/>
      <c r="E1387" s="214"/>
      <c r="F1387" s="167">
        <f t="shared" si="70"/>
        <v>0</v>
      </c>
    </row>
    <row r="1388" spans="1:7" ht="22.5" hidden="1" customHeight="1">
      <c r="A1388" s="219"/>
      <c r="B1388" s="220" t="s">
        <v>87</v>
      </c>
      <c r="C1388" s="241" t="s">
        <v>88</v>
      </c>
      <c r="D1388" s="248"/>
      <c r="E1388" s="214"/>
      <c r="F1388" s="167">
        <f t="shared" si="70"/>
        <v>0</v>
      </c>
    </row>
    <row r="1389" spans="1:7" ht="22.5" hidden="1" customHeight="1">
      <c r="A1389" s="526" t="s">
        <v>268</v>
      </c>
      <c r="B1389" s="529"/>
      <c r="C1389" s="241" t="s">
        <v>269</v>
      </c>
      <c r="D1389" s="248"/>
      <c r="E1389" s="214"/>
      <c r="F1389" s="167">
        <f t="shared" si="70"/>
        <v>0</v>
      </c>
    </row>
    <row r="1390" spans="1:7" ht="22.5" hidden="1" customHeight="1">
      <c r="A1390" s="215"/>
      <c r="B1390" s="220"/>
      <c r="C1390" s="224">
        <v>79</v>
      </c>
      <c r="D1390" s="248"/>
      <c r="E1390" s="214"/>
      <c r="F1390" s="167">
        <f t="shared" si="70"/>
        <v>0</v>
      </c>
    </row>
    <row r="1391" spans="1:7" ht="22.5" hidden="1" customHeight="1">
      <c r="A1391" s="219"/>
      <c r="B1391" s="220"/>
      <c r="C1391" s="224">
        <v>81</v>
      </c>
      <c r="D1391" s="248"/>
      <c r="E1391" s="214"/>
      <c r="F1391" s="167">
        <f t="shared" si="70"/>
        <v>0</v>
      </c>
    </row>
    <row r="1392" spans="1:7" ht="22.5" hidden="1" customHeight="1">
      <c r="A1392" s="206" t="s">
        <v>629</v>
      </c>
      <c r="B1392" s="220"/>
      <c r="C1392" s="224" t="s">
        <v>602</v>
      </c>
      <c r="D1392" s="248"/>
      <c r="E1392" s="214"/>
      <c r="F1392" s="167">
        <f t="shared" si="70"/>
        <v>0</v>
      </c>
    </row>
    <row r="1393" spans="1:6" ht="22.5" hidden="1" customHeight="1">
      <c r="A1393" s="200" t="s">
        <v>661</v>
      </c>
      <c r="B1393" s="220"/>
      <c r="C1393" s="224">
        <v>85</v>
      </c>
      <c r="D1393" s="367">
        <f>D1394</f>
        <v>0</v>
      </c>
      <c r="E1393" s="414">
        <f>E1394</f>
        <v>0</v>
      </c>
      <c r="F1393" s="167">
        <f t="shared" si="70"/>
        <v>0</v>
      </c>
    </row>
    <row r="1394" spans="1:6" ht="22.5" hidden="1" customHeight="1">
      <c r="A1394" s="206"/>
      <c r="B1394" s="220" t="s">
        <v>311</v>
      </c>
      <c r="C1394" s="224" t="s">
        <v>312</v>
      </c>
      <c r="D1394" s="248"/>
      <c r="E1394" s="214"/>
      <c r="F1394" s="167">
        <f t="shared" si="70"/>
        <v>0</v>
      </c>
    </row>
    <row r="1395" spans="1:6" ht="22.5" hidden="1" customHeight="1">
      <c r="A1395" s="242"/>
      <c r="B1395" s="243"/>
      <c r="C1395" s="224"/>
      <c r="D1395" s="248"/>
      <c r="E1395" s="214"/>
      <c r="F1395" s="167">
        <f t="shared" si="70"/>
        <v>0</v>
      </c>
    </row>
    <row r="1396" spans="1:6" ht="22.5" customHeight="1">
      <c r="A1396" s="244" t="s">
        <v>582</v>
      </c>
      <c r="B1396" s="396"/>
      <c r="C1396" s="389" t="s">
        <v>583</v>
      </c>
      <c r="D1396" s="248">
        <f>4919-26+11+113+160</f>
        <v>5177</v>
      </c>
      <c r="E1396" s="214"/>
      <c r="F1396" s="167">
        <f t="shared" si="70"/>
        <v>5177</v>
      </c>
    </row>
    <row r="1397" spans="1:6" ht="20.25">
      <c r="A1397" s="236" t="s">
        <v>148</v>
      </c>
      <c r="B1397" s="475"/>
      <c r="C1397" s="389" t="s">
        <v>149</v>
      </c>
      <c r="D1397" s="367">
        <f>D1398</f>
        <v>51380</v>
      </c>
      <c r="E1397" s="414">
        <f>E1398</f>
        <v>0</v>
      </c>
      <c r="F1397" s="167">
        <f t="shared" si="70"/>
        <v>51380</v>
      </c>
    </row>
    <row r="1398" spans="1:6" ht="20.25">
      <c r="A1398" s="236"/>
      <c r="B1398" s="475" t="s">
        <v>150</v>
      </c>
      <c r="C1398" s="389" t="s">
        <v>630</v>
      </c>
      <c r="D1398" s="248">
        <v>51380</v>
      </c>
      <c r="E1398" s="214"/>
      <c r="F1398" s="167">
        <f t="shared" si="70"/>
        <v>51380</v>
      </c>
    </row>
    <row r="1399" spans="1:6" ht="20.25">
      <c r="A1399" s="236" t="s">
        <v>151</v>
      </c>
      <c r="B1399" s="220"/>
      <c r="C1399" s="389" t="s">
        <v>152</v>
      </c>
      <c r="D1399" s="248">
        <f>5402-115+177+289-160+180</f>
        <v>5773</v>
      </c>
      <c r="E1399" s="214"/>
      <c r="F1399" s="167">
        <f t="shared" si="70"/>
        <v>5773</v>
      </c>
    </row>
    <row r="1400" spans="1:6" ht="20.25" hidden="1">
      <c r="A1400" s="236" t="s">
        <v>425</v>
      </c>
      <c r="B1400" s="220"/>
      <c r="C1400" s="389" t="s">
        <v>426</v>
      </c>
      <c r="D1400" s="248"/>
      <c r="E1400" s="214"/>
      <c r="F1400" s="167">
        <f t="shared" si="70"/>
        <v>0</v>
      </c>
    </row>
    <row r="1401" spans="1:6" ht="20.25" hidden="1">
      <c r="A1401" s="236" t="s">
        <v>153</v>
      </c>
      <c r="B1401" s="220"/>
      <c r="C1401" s="389" t="s">
        <v>584</v>
      </c>
      <c r="D1401" s="248"/>
      <c r="E1401" s="214"/>
      <c r="F1401" s="167">
        <f t="shared" si="70"/>
        <v>0</v>
      </c>
    </row>
    <row r="1402" spans="1:6" ht="20.25">
      <c r="A1402" s="236" t="s">
        <v>154</v>
      </c>
      <c r="B1402" s="220"/>
      <c r="C1402" s="389" t="s">
        <v>155</v>
      </c>
      <c r="D1402" s="367">
        <f>D1403+D1404</f>
        <v>5913</v>
      </c>
      <c r="E1402" s="414">
        <f>E1403+E1404</f>
        <v>0</v>
      </c>
      <c r="F1402" s="167">
        <f t="shared" si="70"/>
        <v>5913</v>
      </c>
    </row>
    <row r="1403" spans="1:6" ht="20.25">
      <c r="A1403" s="236"/>
      <c r="B1403" s="475" t="s">
        <v>156</v>
      </c>
      <c r="C1403" s="389" t="s">
        <v>585</v>
      </c>
      <c r="D1403" s="248">
        <v>880</v>
      </c>
      <c r="E1403" s="214"/>
      <c r="F1403" s="167">
        <f t="shared" si="70"/>
        <v>880</v>
      </c>
    </row>
    <row r="1404" spans="1:6" ht="20.25">
      <c r="A1404" s="236"/>
      <c r="B1404" s="475" t="s">
        <v>586</v>
      </c>
      <c r="C1404" s="389" t="s">
        <v>587</v>
      </c>
      <c r="D1404" s="248">
        <f>4967-209+5+83+187</f>
        <v>5033</v>
      </c>
      <c r="E1404" s="214"/>
      <c r="F1404" s="167">
        <f t="shared" si="70"/>
        <v>5033</v>
      </c>
    </row>
    <row r="1405" spans="1:6" ht="20.25">
      <c r="A1405" s="244" t="s">
        <v>588</v>
      </c>
      <c r="B1405" s="220"/>
      <c r="C1405" s="389" t="s">
        <v>589</v>
      </c>
      <c r="D1405" s="248">
        <f>50044-1564-3977-17133-5400+107-485+160+473</f>
        <v>22225</v>
      </c>
      <c r="E1405" s="214"/>
      <c r="F1405" s="167">
        <f t="shared" si="70"/>
        <v>22225</v>
      </c>
    </row>
    <row r="1406" spans="1:6" ht="20.25" hidden="1">
      <c r="A1406" s="271"/>
      <c r="B1406" s="474"/>
      <c r="C1406" s="224"/>
      <c r="D1406" s="248"/>
      <c r="E1406" s="214"/>
      <c r="F1406" s="167">
        <f t="shared" si="70"/>
        <v>0</v>
      </c>
    </row>
    <row r="1407" spans="1:6" ht="20.25" hidden="1">
      <c r="A1407" s="263"/>
      <c r="B1407" s="475"/>
      <c r="C1407" s="224" t="s">
        <v>157</v>
      </c>
      <c r="D1407" s="248"/>
      <c r="E1407" s="214"/>
      <c r="F1407" s="167">
        <f t="shared" si="70"/>
        <v>0</v>
      </c>
    </row>
    <row r="1408" spans="1:6" ht="20.25">
      <c r="A1408" s="263"/>
      <c r="B1408" s="264" t="s">
        <v>158</v>
      </c>
      <c r="C1408" s="202" t="s">
        <v>590</v>
      </c>
      <c r="D1408" s="350">
        <f>D1443+D1446+D1449+D1450+D1451</f>
        <v>62908.119999999995</v>
      </c>
      <c r="E1408" s="409">
        <f>E1443+E1446+E1449+E1450+E1451</f>
        <v>0</v>
      </c>
      <c r="F1408" s="167">
        <f t="shared" si="70"/>
        <v>62908.119999999995</v>
      </c>
    </row>
    <row r="1409" spans="1:6" ht="20.25">
      <c r="A1409" s="247" t="s">
        <v>896</v>
      </c>
      <c r="B1409" s="474"/>
      <c r="C1409" s="235" t="s">
        <v>49</v>
      </c>
      <c r="D1409" s="367">
        <f>D1411+D1412+D1415+D1421+D1423</f>
        <v>62916.91</v>
      </c>
      <c r="E1409" s="414">
        <f>E1411+E1412+E1415+E1421+E1423</f>
        <v>0</v>
      </c>
      <c r="F1409" s="167">
        <f t="shared" si="70"/>
        <v>62916.91</v>
      </c>
    </row>
    <row r="1410" spans="1:6" ht="20.25" hidden="1">
      <c r="A1410" s="204" t="s">
        <v>561</v>
      </c>
      <c r="B1410" s="474"/>
      <c r="C1410" s="235">
        <v>10</v>
      </c>
      <c r="D1410" s="248"/>
      <c r="E1410" s="214"/>
      <c r="F1410" s="167">
        <f t="shared" si="70"/>
        <v>0</v>
      </c>
    </row>
    <row r="1411" spans="1:6" ht="20.25">
      <c r="A1411" s="206" t="s">
        <v>562</v>
      </c>
      <c r="B1411" s="474"/>
      <c r="C1411" s="224">
        <v>20</v>
      </c>
      <c r="D1411" s="248">
        <f>10298.35-2000+1480-1000+2452+5113+1512+248.5+38-650+2480+2357.06</f>
        <v>22328.91</v>
      </c>
      <c r="E1411" s="214"/>
      <c r="F1411" s="167">
        <f t="shared" ref="F1411:F1474" si="71">D1411+E1411</f>
        <v>22328.91</v>
      </c>
    </row>
    <row r="1412" spans="1:6" ht="40.5" customHeight="1">
      <c r="A1412" s="526" t="s">
        <v>591</v>
      </c>
      <c r="B1412" s="527"/>
      <c r="C1412" s="235" t="s">
        <v>592</v>
      </c>
      <c r="D1412" s="367">
        <f>D1413</f>
        <v>30100</v>
      </c>
      <c r="E1412" s="414">
        <f>E1413</f>
        <v>0</v>
      </c>
      <c r="F1412" s="167">
        <f t="shared" si="71"/>
        <v>30100</v>
      </c>
    </row>
    <row r="1413" spans="1:6" ht="20.25">
      <c r="A1413" s="219" t="s">
        <v>55</v>
      </c>
      <c r="B1413" s="474"/>
      <c r="C1413" s="224" t="s">
        <v>56</v>
      </c>
      <c r="D1413" s="367">
        <f>D1414</f>
        <v>30100</v>
      </c>
      <c r="E1413" s="414">
        <f>E1414</f>
        <v>0</v>
      </c>
      <c r="F1413" s="167">
        <f t="shared" si="71"/>
        <v>30100</v>
      </c>
    </row>
    <row r="1414" spans="1:6" ht="20.25">
      <c r="A1414" s="215"/>
      <c r="B1414" s="222" t="s">
        <v>922</v>
      </c>
      <c r="C1414" s="224" t="s">
        <v>58</v>
      </c>
      <c r="D1414" s="248">
        <f>28000+2100</f>
        <v>30100</v>
      </c>
      <c r="E1414" s="214"/>
      <c r="F1414" s="167">
        <f t="shared" si="71"/>
        <v>30100</v>
      </c>
    </row>
    <row r="1415" spans="1:6" ht="20.25">
      <c r="A1415" s="219" t="s">
        <v>623</v>
      </c>
      <c r="B1415" s="474"/>
      <c r="C1415" s="235" t="s">
        <v>159</v>
      </c>
      <c r="D1415" s="367">
        <f>D1416</f>
        <v>10488</v>
      </c>
      <c r="E1415" s="414">
        <f>E1416</f>
        <v>0</v>
      </c>
      <c r="F1415" s="167">
        <f t="shared" si="71"/>
        <v>10488</v>
      </c>
    </row>
    <row r="1416" spans="1:6" ht="20.25">
      <c r="A1416" s="219" t="s">
        <v>160</v>
      </c>
      <c r="B1416" s="474"/>
      <c r="C1416" s="235" t="s">
        <v>67</v>
      </c>
      <c r="D1416" s="367">
        <f>D1419+D1420</f>
        <v>10488</v>
      </c>
      <c r="E1416" s="414">
        <f>E1419+E1420</f>
        <v>0</v>
      </c>
      <c r="F1416" s="167">
        <f t="shared" si="71"/>
        <v>10488</v>
      </c>
    </row>
    <row r="1417" spans="1:6" ht="20.25" hidden="1">
      <c r="A1417" s="219"/>
      <c r="B1417" s="220" t="s">
        <v>346</v>
      </c>
      <c r="C1417" s="224" t="s">
        <v>325</v>
      </c>
      <c r="D1417" s="248"/>
      <c r="E1417" s="214"/>
      <c r="F1417" s="167">
        <f t="shared" si="71"/>
        <v>0</v>
      </c>
    </row>
    <row r="1418" spans="1:6" ht="18" hidden="1" customHeight="1">
      <c r="A1418" s="215"/>
      <c r="B1418" s="220" t="s">
        <v>68</v>
      </c>
      <c r="C1418" s="224" t="s">
        <v>622</v>
      </c>
      <c r="D1418" s="248"/>
      <c r="E1418" s="214"/>
      <c r="F1418" s="167">
        <f t="shared" si="71"/>
        <v>0</v>
      </c>
    </row>
    <row r="1419" spans="1:6" ht="20.25" hidden="1">
      <c r="A1419" s="215"/>
      <c r="B1419" s="220" t="s">
        <v>624</v>
      </c>
      <c r="C1419" s="224" t="s">
        <v>625</v>
      </c>
      <c r="D1419" s="248"/>
      <c r="E1419" s="214"/>
      <c r="F1419" s="167">
        <f t="shared" si="71"/>
        <v>0</v>
      </c>
    </row>
    <row r="1420" spans="1:6" ht="20.25">
      <c r="A1420" s="215"/>
      <c r="B1420" s="220" t="s">
        <v>923</v>
      </c>
      <c r="C1420" s="224" t="s">
        <v>662</v>
      </c>
      <c r="D1420" s="248">
        <f>4738+5750</f>
        <v>10488</v>
      </c>
      <c r="E1420" s="214"/>
      <c r="F1420" s="167">
        <f t="shared" si="71"/>
        <v>10488</v>
      </c>
    </row>
    <row r="1421" spans="1:6" ht="36" hidden="1">
      <c r="A1421" s="215"/>
      <c r="B1421" s="208" t="s">
        <v>321</v>
      </c>
      <c r="C1421" s="235">
        <v>56</v>
      </c>
      <c r="D1421" s="367">
        <f>D1422</f>
        <v>0</v>
      </c>
      <c r="E1421" s="414">
        <f>E1422</f>
        <v>0</v>
      </c>
      <c r="F1421" s="167">
        <f t="shared" si="71"/>
        <v>0</v>
      </c>
    </row>
    <row r="1422" spans="1:6" ht="20.25" hidden="1">
      <c r="A1422" s="215"/>
      <c r="B1422" s="222" t="s">
        <v>315</v>
      </c>
      <c r="C1422" s="224" t="s">
        <v>324</v>
      </c>
      <c r="D1422" s="248"/>
      <c r="E1422" s="214"/>
      <c r="F1422" s="167">
        <f t="shared" si="71"/>
        <v>0</v>
      </c>
    </row>
    <row r="1423" spans="1:6" ht="20.25" hidden="1">
      <c r="A1423" s="237" t="s">
        <v>659</v>
      </c>
      <c r="B1423" s="222"/>
      <c r="C1423" s="224">
        <v>59</v>
      </c>
      <c r="D1423" s="248">
        <f>D1424</f>
        <v>0</v>
      </c>
      <c r="E1423" s="214">
        <f>E1424</f>
        <v>0</v>
      </c>
      <c r="F1423" s="167">
        <f t="shared" si="71"/>
        <v>0</v>
      </c>
    </row>
    <row r="1424" spans="1:6" ht="20.25" hidden="1">
      <c r="A1424" s="215"/>
      <c r="B1424" s="222" t="s">
        <v>897</v>
      </c>
      <c r="C1424" s="224">
        <v>59.17</v>
      </c>
      <c r="D1424" s="248"/>
      <c r="E1424" s="214"/>
      <c r="F1424" s="167">
        <f t="shared" si="71"/>
        <v>0</v>
      </c>
    </row>
    <row r="1425" spans="1:6" ht="20.25" hidden="1">
      <c r="A1425" s="261" t="s">
        <v>116</v>
      </c>
      <c r="B1425" s="474"/>
      <c r="C1425" s="224">
        <v>70</v>
      </c>
      <c r="D1425" s="367">
        <f>D1426</f>
        <v>0</v>
      </c>
      <c r="E1425" s="414">
        <f>E1426</f>
        <v>0</v>
      </c>
      <c r="F1425" s="167">
        <f t="shared" si="71"/>
        <v>0</v>
      </c>
    </row>
    <row r="1426" spans="1:6" ht="20.25" hidden="1">
      <c r="A1426" s="226" t="s">
        <v>320</v>
      </c>
      <c r="B1426" s="474"/>
      <c r="C1426" s="224">
        <v>71</v>
      </c>
      <c r="D1426" s="248"/>
      <c r="E1426" s="214"/>
      <c r="F1426" s="167">
        <f t="shared" si="71"/>
        <v>0</v>
      </c>
    </row>
    <row r="1427" spans="1:6" ht="20.25" hidden="1">
      <c r="A1427" s="219" t="s">
        <v>110</v>
      </c>
      <c r="B1427" s="474"/>
      <c r="C1427" s="224" t="s">
        <v>80</v>
      </c>
      <c r="D1427" s="248"/>
      <c r="E1427" s="214"/>
      <c r="F1427" s="167">
        <f t="shared" si="71"/>
        <v>0</v>
      </c>
    </row>
    <row r="1428" spans="1:6" ht="20.25" hidden="1">
      <c r="A1428" s="219"/>
      <c r="B1428" s="218" t="s">
        <v>81</v>
      </c>
      <c r="C1428" s="241" t="s">
        <v>82</v>
      </c>
      <c r="D1428" s="248"/>
      <c r="E1428" s="214"/>
      <c r="F1428" s="167">
        <f t="shared" si="71"/>
        <v>0</v>
      </c>
    </row>
    <row r="1429" spans="1:6" ht="20.25" hidden="1">
      <c r="A1429" s="219"/>
      <c r="B1429" s="220" t="s">
        <v>83</v>
      </c>
      <c r="C1429" s="241" t="s">
        <v>84</v>
      </c>
      <c r="D1429" s="248"/>
      <c r="E1429" s="214"/>
      <c r="F1429" s="167">
        <f t="shared" si="71"/>
        <v>0</v>
      </c>
    </row>
    <row r="1430" spans="1:6" ht="20.25" hidden="1">
      <c r="A1430" s="219"/>
      <c r="B1430" s="220" t="s">
        <v>94</v>
      </c>
      <c r="C1430" s="241" t="s">
        <v>86</v>
      </c>
      <c r="D1430" s="248"/>
      <c r="E1430" s="214"/>
      <c r="F1430" s="167">
        <f t="shared" si="71"/>
        <v>0</v>
      </c>
    </row>
    <row r="1431" spans="1:6" ht="20.25" hidden="1">
      <c r="A1431" s="219"/>
      <c r="B1431" s="220" t="s">
        <v>87</v>
      </c>
      <c r="C1431" s="241" t="s">
        <v>88</v>
      </c>
      <c r="D1431" s="248"/>
      <c r="E1431" s="214"/>
      <c r="F1431" s="167">
        <f t="shared" si="71"/>
        <v>0</v>
      </c>
    </row>
    <row r="1432" spans="1:6" ht="20.25" hidden="1">
      <c r="A1432" s="526" t="s">
        <v>268</v>
      </c>
      <c r="B1432" s="529"/>
      <c r="C1432" s="241" t="s">
        <v>269</v>
      </c>
      <c r="D1432" s="248"/>
      <c r="E1432" s="214"/>
      <c r="F1432" s="167">
        <f t="shared" si="71"/>
        <v>0</v>
      </c>
    </row>
    <row r="1433" spans="1:6" ht="20.25" hidden="1">
      <c r="A1433" s="219"/>
      <c r="B1433" s="218"/>
      <c r="C1433" s="224">
        <v>72</v>
      </c>
      <c r="D1433" s="248"/>
      <c r="E1433" s="214"/>
      <c r="F1433" s="167">
        <f t="shared" si="71"/>
        <v>0</v>
      </c>
    </row>
    <row r="1434" spans="1:6" ht="20.25" hidden="1">
      <c r="A1434" s="229" t="s">
        <v>270</v>
      </c>
      <c r="B1434" s="218"/>
      <c r="C1434" s="224" t="s">
        <v>271</v>
      </c>
      <c r="D1434" s="248"/>
      <c r="E1434" s="214"/>
      <c r="F1434" s="167">
        <f t="shared" si="71"/>
        <v>0</v>
      </c>
    </row>
    <row r="1435" spans="1:6" ht="20.25" hidden="1">
      <c r="A1435" s="229"/>
      <c r="B1435" s="220" t="s">
        <v>427</v>
      </c>
      <c r="C1435" s="224" t="s">
        <v>273</v>
      </c>
      <c r="D1435" s="248"/>
      <c r="E1435" s="214"/>
      <c r="F1435" s="167">
        <f t="shared" si="71"/>
        <v>0</v>
      </c>
    </row>
    <row r="1436" spans="1:6" ht="20.25" hidden="1">
      <c r="A1436" s="215"/>
      <c r="B1436" s="220"/>
      <c r="C1436" s="224">
        <v>79</v>
      </c>
      <c r="D1436" s="367">
        <f>D1437</f>
        <v>0</v>
      </c>
      <c r="E1436" s="414">
        <f>E1437</f>
        <v>0</v>
      </c>
      <c r="F1436" s="167">
        <f t="shared" si="71"/>
        <v>0</v>
      </c>
    </row>
    <row r="1437" spans="1:6" ht="20.25" hidden="1">
      <c r="A1437" s="219"/>
      <c r="B1437" s="220"/>
      <c r="C1437" s="224">
        <v>81</v>
      </c>
      <c r="D1437" s="367">
        <f>D1439</f>
        <v>0</v>
      </c>
      <c r="E1437" s="414">
        <f>E1439</f>
        <v>0</v>
      </c>
      <c r="F1437" s="167">
        <f t="shared" si="71"/>
        <v>0</v>
      </c>
    </row>
    <row r="1438" spans="1:6" ht="20.25" hidden="1">
      <c r="A1438" s="206" t="s">
        <v>278</v>
      </c>
      <c r="B1438" s="220"/>
      <c r="C1438" s="224" t="s">
        <v>279</v>
      </c>
      <c r="D1438" s="248"/>
      <c r="E1438" s="214"/>
      <c r="F1438" s="167">
        <f t="shared" si="71"/>
        <v>0</v>
      </c>
    </row>
    <row r="1439" spans="1:6" ht="20.25" hidden="1">
      <c r="A1439" s="206" t="s">
        <v>629</v>
      </c>
      <c r="B1439" s="220"/>
      <c r="C1439" s="224" t="s">
        <v>602</v>
      </c>
      <c r="D1439" s="248"/>
      <c r="E1439" s="214"/>
      <c r="F1439" s="167">
        <f t="shared" si="71"/>
        <v>0</v>
      </c>
    </row>
    <row r="1440" spans="1:6" ht="20.25">
      <c r="A1440" s="549" t="s">
        <v>1015</v>
      </c>
      <c r="B1440" s="529"/>
      <c r="C1440" s="224">
        <v>85</v>
      </c>
      <c r="D1440" s="367">
        <f>D1441</f>
        <v>-8.7899999999999991</v>
      </c>
      <c r="E1440" s="414">
        <f>E1441</f>
        <v>0</v>
      </c>
      <c r="F1440" s="167">
        <f t="shared" si="71"/>
        <v>-8.7899999999999991</v>
      </c>
    </row>
    <row r="1441" spans="1:6" ht="20.25">
      <c r="A1441" s="206"/>
      <c r="B1441" s="220" t="s">
        <v>311</v>
      </c>
      <c r="C1441" s="224" t="s">
        <v>312</v>
      </c>
      <c r="D1441" s="248">
        <v>-8.7899999999999991</v>
      </c>
      <c r="E1441" s="214"/>
      <c r="F1441" s="167">
        <f t="shared" si="71"/>
        <v>-8.7899999999999991</v>
      </c>
    </row>
    <row r="1442" spans="1:6" ht="20.25" hidden="1">
      <c r="A1442" s="242"/>
      <c r="B1442" s="243"/>
      <c r="C1442" s="224"/>
      <c r="D1442" s="248"/>
      <c r="E1442" s="214"/>
      <c r="F1442" s="167">
        <f t="shared" si="71"/>
        <v>0</v>
      </c>
    </row>
    <row r="1443" spans="1:6" ht="20.25" hidden="1">
      <c r="A1443" s="244" t="s">
        <v>161</v>
      </c>
      <c r="B1443" s="396"/>
      <c r="C1443" s="224" t="s">
        <v>162</v>
      </c>
      <c r="D1443" s="367">
        <f>D1444+D1445</f>
        <v>0</v>
      </c>
      <c r="E1443" s="414">
        <f>E1444+E1445</f>
        <v>0</v>
      </c>
      <c r="F1443" s="167">
        <f t="shared" si="71"/>
        <v>0</v>
      </c>
    </row>
    <row r="1444" spans="1:6" ht="20.25" hidden="1">
      <c r="A1444" s="244"/>
      <c r="B1444" s="220" t="s">
        <v>632</v>
      </c>
      <c r="C1444" s="224" t="s">
        <v>163</v>
      </c>
      <c r="D1444" s="367"/>
      <c r="E1444" s="414"/>
      <c r="F1444" s="167">
        <f t="shared" si="71"/>
        <v>0</v>
      </c>
    </row>
    <row r="1445" spans="1:6" ht="20.25" hidden="1">
      <c r="A1445" s="244"/>
      <c r="B1445" s="475" t="s">
        <v>428</v>
      </c>
      <c r="C1445" s="224" t="s">
        <v>429</v>
      </c>
      <c r="D1445" s="367"/>
      <c r="E1445" s="414"/>
      <c r="F1445" s="167">
        <f t="shared" si="71"/>
        <v>0</v>
      </c>
    </row>
    <row r="1446" spans="1:6" ht="20.25" hidden="1">
      <c r="A1446" s="236" t="s">
        <v>164</v>
      </c>
      <c r="B1446" s="220"/>
      <c r="C1446" s="224" t="s">
        <v>165</v>
      </c>
      <c r="D1446" s="367">
        <f>D1447+D1448</f>
        <v>0</v>
      </c>
      <c r="E1446" s="414">
        <f>E1447+E1448</f>
        <v>0</v>
      </c>
      <c r="F1446" s="167">
        <f t="shared" si="71"/>
        <v>0</v>
      </c>
    </row>
    <row r="1447" spans="1:6" ht="20.25" hidden="1">
      <c r="A1447" s="236"/>
      <c r="B1447" s="475" t="s">
        <v>633</v>
      </c>
      <c r="C1447" s="224" t="s">
        <v>166</v>
      </c>
      <c r="D1447" s="367"/>
      <c r="E1447" s="414"/>
      <c r="F1447" s="167">
        <f t="shared" si="71"/>
        <v>0</v>
      </c>
    </row>
    <row r="1448" spans="1:6" ht="20.25" hidden="1">
      <c r="A1448" s="236"/>
      <c r="B1448" s="475" t="s">
        <v>430</v>
      </c>
      <c r="C1448" s="224" t="s">
        <v>431</v>
      </c>
      <c r="D1448" s="248"/>
      <c r="E1448" s="214"/>
      <c r="F1448" s="167">
        <f t="shared" si="71"/>
        <v>0</v>
      </c>
    </row>
    <row r="1449" spans="1:6" ht="20.25">
      <c r="A1449" s="244" t="s">
        <v>167</v>
      </c>
      <c r="B1449" s="475"/>
      <c r="C1449" s="224" t="s">
        <v>168</v>
      </c>
      <c r="D1449" s="367">
        <f>10298.35-8.79-2000-650+680+1200</f>
        <v>9519.56</v>
      </c>
      <c r="E1449" s="414"/>
      <c r="F1449" s="167">
        <f t="shared" si="71"/>
        <v>9519.56</v>
      </c>
    </row>
    <row r="1450" spans="1:6" ht="20.25" hidden="1">
      <c r="A1450" s="244" t="s">
        <v>432</v>
      </c>
      <c r="B1450" s="475"/>
      <c r="C1450" s="224" t="s">
        <v>433</v>
      </c>
      <c r="D1450" s="248"/>
      <c r="E1450" s="214"/>
      <c r="F1450" s="167">
        <f t="shared" si="71"/>
        <v>0</v>
      </c>
    </row>
    <row r="1451" spans="1:6" ht="20.25">
      <c r="A1451" s="244" t="s">
        <v>169</v>
      </c>
      <c r="B1451" s="396"/>
      <c r="C1451" s="224" t="s">
        <v>170</v>
      </c>
      <c r="D1451" s="367">
        <f>1480+2452+5113+1512+248.5+38+26000+4738-1000+3800+9007.06</f>
        <v>53388.56</v>
      </c>
      <c r="E1451" s="414"/>
      <c r="F1451" s="167">
        <f t="shared" si="71"/>
        <v>53388.56</v>
      </c>
    </row>
    <row r="1452" spans="1:6" ht="20.25" hidden="1">
      <c r="A1452" s="271"/>
      <c r="B1452" s="474"/>
      <c r="C1452" s="224"/>
      <c r="D1452" s="248"/>
      <c r="E1452" s="214"/>
      <c r="F1452" s="167">
        <f t="shared" si="71"/>
        <v>0</v>
      </c>
    </row>
    <row r="1453" spans="1:6" ht="20.25">
      <c r="A1453" s="272"/>
      <c r="B1453" s="264" t="s">
        <v>171</v>
      </c>
      <c r="C1453" s="202" t="s">
        <v>593</v>
      </c>
      <c r="D1453" s="350">
        <f>D1490+D1493+D1489</f>
        <v>61268.62</v>
      </c>
      <c r="E1453" s="409">
        <f>E1490+E1493+E1489</f>
        <v>0</v>
      </c>
      <c r="F1453" s="167">
        <f t="shared" si="71"/>
        <v>61268.62</v>
      </c>
    </row>
    <row r="1454" spans="1:6" ht="20.25">
      <c r="A1454" s="247" t="s">
        <v>916</v>
      </c>
      <c r="B1454" s="474"/>
      <c r="C1454" s="235" t="s">
        <v>49</v>
      </c>
      <c r="D1454" s="367">
        <f>D1455+D1456+D1457+D1460+D1466+D1484</f>
        <v>61304</v>
      </c>
      <c r="E1454" s="414">
        <f>E1455+E1456+E1457+E1460+E1466+E1484</f>
        <v>0</v>
      </c>
      <c r="F1454" s="167">
        <f t="shared" si="71"/>
        <v>61304</v>
      </c>
    </row>
    <row r="1455" spans="1:6" ht="20.25" hidden="1">
      <c r="A1455" s="204" t="s">
        <v>561</v>
      </c>
      <c r="B1455" s="474"/>
      <c r="C1455" s="235">
        <v>10</v>
      </c>
      <c r="D1455" s="248"/>
      <c r="E1455" s="214"/>
      <c r="F1455" s="167">
        <f t="shared" si="71"/>
        <v>0</v>
      </c>
    </row>
    <row r="1456" spans="1:6" ht="20.25">
      <c r="A1456" s="206" t="s">
        <v>562</v>
      </c>
      <c r="B1456" s="474"/>
      <c r="C1456" s="224">
        <v>20</v>
      </c>
      <c r="D1456" s="248">
        <f>27285-3000+2000+2907+646-400-400-1480+6000+4000</f>
        <v>37558</v>
      </c>
      <c r="E1456" s="214"/>
      <c r="F1456" s="167">
        <f t="shared" si="71"/>
        <v>37558</v>
      </c>
    </row>
    <row r="1457" spans="1:6" ht="20.25" hidden="1">
      <c r="A1457" s="219" t="s">
        <v>434</v>
      </c>
      <c r="B1457" s="474"/>
      <c r="C1457" s="235" t="s">
        <v>592</v>
      </c>
      <c r="D1457" s="248"/>
      <c r="E1457" s="214"/>
      <c r="F1457" s="167">
        <f t="shared" si="71"/>
        <v>0</v>
      </c>
    </row>
    <row r="1458" spans="1:6" ht="20.25" hidden="1">
      <c r="A1458" s="219" t="s">
        <v>55</v>
      </c>
      <c r="B1458" s="474"/>
      <c r="C1458" s="224" t="s">
        <v>56</v>
      </c>
      <c r="D1458" s="248"/>
      <c r="E1458" s="214"/>
      <c r="F1458" s="167">
        <f t="shared" si="71"/>
        <v>0</v>
      </c>
    </row>
    <row r="1459" spans="1:6" ht="20.25" hidden="1">
      <c r="A1459" s="215"/>
      <c r="B1459" s="474"/>
      <c r="C1459" s="224" t="s">
        <v>58</v>
      </c>
      <c r="D1459" s="248"/>
      <c r="E1459" s="214"/>
      <c r="F1459" s="167">
        <f t="shared" si="71"/>
        <v>0</v>
      </c>
    </row>
    <row r="1460" spans="1:6" ht="20.25" hidden="1">
      <c r="A1460" s="219" t="s">
        <v>623</v>
      </c>
      <c r="B1460" s="474"/>
      <c r="C1460" s="235" t="s">
        <v>159</v>
      </c>
      <c r="D1460" s="248">
        <f>D1461</f>
        <v>0</v>
      </c>
      <c r="E1460" s="214">
        <f>E1461</f>
        <v>0</v>
      </c>
      <c r="F1460" s="167">
        <f t="shared" si="71"/>
        <v>0</v>
      </c>
    </row>
    <row r="1461" spans="1:6" ht="20.25" hidden="1">
      <c r="A1461" s="219" t="s">
        <v>172</v>
      </c>
      <c r="B1461" s="474"/>
      <c r="C1461" s="235" t="s">
        <v>67</v>
      </c>
      <c r="D1461" s="248">
        <f>SUM(D1462:D1465)</f>
        <v>0</v>
      </c>
      <c r="E1461" s="214">
        <f>SUM(E1462:E1465)</f>
        <v>0</v>
      </c>
      <c r="F1461" s="167">
        <f t="shared" si="71"/>
        <v>0</v>
      </c>
    </row>
    <row r="1462" spans="1:6" ht="20.25" hidden="1">
      <c r="A1462" s="236"/>
      <c r="B1462" s="220" t="s">
        <v>435</v>
      </c>
      <c r="C1462" s="224" t="s">
        <v>258</v>
      </c>
      <c r="D1462" s="248"/>
      <c r="E1462" s="214"/>
      <c r="F1462" s="167">
        <f t="shared" si="71"/>
        <v>0</v>
      </c>
    </row>
    <row r="1463" spans="1:6" ht="37.5" hidden="1" customHeight="1">
      <c r="A1463" s="236"/>
      <c r="B1463" s="220" t="s">
        <v>68</v>
      </c>
      <c r="C1463" s="224" t="s">
        <v>622</v>
      </c>
      <c r="D1463" s="248"/>
      <c r="E1463" s="214"/>
      <c r="F1463" s="167">
        <f t="shared" si="71"/>
        <v>0</v>
      </c>
    </row>
    <row r="1464" spans="1:6" ht="20.25" hidden="1">
      <c r="A1464" s="215"/>
      <c r="B1464" s="222" t="s">
        <v>624</v>
      </c>
      <c r="C1464" s="235" t="s">
        <v>625</v>
      </c>
      <c r="D1464" s="248"/>
      <c r="E1464" s="214"/>
      <c r="F1464" s="167">
        <f t="shared" si="71"/>
        <v>0</v>
      </c>
    </row>
    <row r="1465" spans="1:6" ht="20.25" hidden="1">
      <c r="A1465" s="215"/>
      <c r="B1465" s="222" t="s">
        <v>1032</v>
      </c>
      <c r="C1465" s="224" t="s">
        <v>1031</v>
      </c>
      <c r="D1465" s="248"/>
      <c r="E1465" s="214"/>
      <c r="F1465" s="167">
        <f t="shared" si="71"/>
        <v>0</v>
      </c>
    </row>
    <row r="1466" spans="1:6" ht="36" hidden="1">
      <c r="A1466" s="215"/>
      <c r="B1466" s="208" t="s">
        <v>321</v>
      </c>
      <c r="C1466" s="235">
        <v>56</v>
      </c>
      <c r="D1466" s="367">
        <f>D1467</f>
        <v>0</v>
      </c>
      <c r="E1466" s="414">
        <f>E1467</f>
        <v>0</v>
      </c>
      <c r="F1466" s="167">
        <f t="shared" si="71"/>
        <v>0</v>
      </c>
    </row>
    <row r="1467" spans="1:6" ht="20.25" hidden="1">
      <c r="A1467" s="215"/>
      <c r="B1467" s="222" t="s">
        <v>355</v>
      </c>
      <c r="C1467" s="224" t="s">
        <v>356</v>
      </c>
      <c r="D1467" s="248"/>
      <c r="E1467" s="214"/>
      <c r="F1467" s="167">
        <f t="shared" si="71"/>
        <v>0</v>
      </c>
    </row>
    <row r="1468" spans="1:6" ht="20.25" hidden="1">
      <c r="A1468" s="261" t="s">
        <v>116</v>
      </c>
      <c r="B1468" s="474"/>
      <c r="C1468" s="224">
        <v>70</v>
      </c>
      <c r="D1468" s="367">
        <f>D1469</f>
        <v>0</v>
      </c>
      <c r="E1468" s="414">
        <f>E1469</f>
        <v>0</v>
      </c>
      <c r="F1468" s="167">
        <f t="shared" si="71"/>
        <v>0</v>
      </c>
    </row>
    <row r="1469" spans="1:6" ht="20.25" hidden="1">
      <c r="A1469" s="226" t="s">
        <v>317</v>
      </c>
      <c r="B1469" s="474"/>
      <c r="C1469" s="224">
        <v>71</v>
      </c>
      <c r="D1469" s="248"/>
      <c r="E1469" s="214"/>
      <c r="F1469" s="167">
        <f t="shared" si="71"/>
        <v>0</v>
      </c>
    </row>
    <row r="1470" spans="1:6" ht="20.25" hidden="1">
      <c r="A1470" s="219" t="s">
        <v>127</v>
      </c>
      <c r="B1470" s="474"/>
      <c r="C1470" s="224" t="s">
        <v>80</v>
      </c>
      <c r="D1470" s="248"/>
      <c r="E1470" s="214"/>
      <c r="F1470" s="167">
        <f t="shared" si="71"/>
        <v>0</v>
      </c>
    </row>
    <row r="1471" spans="1:6" ht="20.25" hidden="1">
      <c r="A1471" s="219"/>
      <c r="B1471" s="218" t="s">
        <v>81</v>
      </c>
      <c r="C1471" s="241" t="s">
        <v>82</v>
      </c>
      <c r="D1471" s="248"/>
      <c r="E1471" s="214"/>
      <c r="F1471" s="167">
        <f t="shared" si="71"/>
        <v>0</v>
      </c>
    </row>
    <row r="1472" spans="1:6" ht="20.25" hidden="1">
      <c r="A1472" s="219"/>
      <c r="B1472" s="220" t="s">
        <v>83</v>
      </c>
      <c r="C1472" s="241" t="s">
        <v>84</v>
      </c>
      <c r="D1472" s="248"/>
      <c r="E1472" s="214"/>
      <c r="F1472" s="167">
        <f t="shared" si="71"/>
        <v>0</v>
      </c>
    </row>
    <row r="1473" spans="1:6" ht="20.25" hidden="1">
      <c r="A1473" s="219"/>
      <c r="B1473" s="220" t="s">
        <v>94</v>
      </c>
      <c r="C1473" s="241" t="s">
        <v>86</v>
      </c>
      <c r="D1473" s="248"/>
      <c r="E1473" s="214"/>
      <c r="F1473" s="167">
        <f t="shared" si="71"/>
        <v>0</v>
      </c>
    </row>
    <row r="1474" spans="1:6" ht="20.25" hidden="1">
      <c r="A1474" s="219"/>
      <c r="B1474" s="220" t="s">
        <v>87</v>
      </c>
      <c r="C1474" s="241" t="s">
        <v>88</v>
      </c>
      <c r="D1474" s="248"/>
      <c r="E1474" s="214"/>
      <c r="F1474" s="167">
        <f t="shared" si="71"/>
        <v>0</v>
      </c>
    </row>
    <row r="1475" spans="1:6" ht="20.25" hidden="1">
      <c r="A1475" s="526" t="s">
        <v>268</v>
      </c>
      <c r="B1475" s="529"/>
      <c r="C1475" s="241" t="s">
        <v>269</v>
      </c>
      <c r="D1475" s="248"/>
      <c r="E1475" s="214"/>
      <c r="F1475" s="167">
        <f t="shared" ref="F1475:F1488" si="72">D1475+E1475</f>
        <v>0</v>
      </c>
    </row>
    <row r="1476" spans="1:6" ht="20.25" hidden="1">
      <c r="A1476" s="219"/>
      <c r="B1476" s="218"/>
      <c r="C1476" s="224">
        <v>72</v>
      </c>
      <c r="D1476" s="248"/>
      <c r="E1476" s="214"/>
      <c r="F1476" s="167">
        <f t="shared" si="72"/>
        <v>0</v>
      </c>
    </row>
    <row r="1477" spans="1:6" ht="20.25" hidden="1">
      <c r="A1477" s="229" t="s">
        <v>270</v>
      </c>
      <c r="B1477" s="218"/>
      <c r="C1477" s="224" t="s">
        <v>271</v>
      </c>
      <c r="D1477" s="248"/>
      <c r="E1477" s="214"/>
      <c r="F1477" s="167">
        <f t="shared" si="72"/>
        <v>0</v>
      </c>
    </row>
    <row r="1478" spans="1:6" ht="20.25" hidden="1">
      <c r="A1478" s="229"/>
      <c r="B1478" s="220" t="s">
        <v>427</v>
      </c>
      <c r="C1478" s="224" t="s">
        <v>273</v>
      </c>
      <c r="D1478" s="248"/>
      <c r="E1478" s="214"/>
      <c r="F1478" s="167">
        <f t="shared" si="72"/>
        <v>0</v>
      </c>
    </row>
    <row r="1479" spans="1:6" ht="20.25" hidden="1">
      <c r="A1479" s="215"/>
      <c r="B1479" s="220"/>
      <c r="C1479" s="224">
        <v>79</v>
      </c>
      <c r="D1479" s="248"/>
      <c r="E1479" s="214"/>
      <c r="F1479" s="167">
        <f t="shared" si="72"/>
        <v>0</v>
      </c>
    </row>
    <row r="1480" spans="1:6" ht="20.25" hidden="1">
      <c r="A1480" s="219"/>
      <c r="B1480" s="220"/>
      <c r="C1480" s="224">
        <v>81</v>
      </c>
      <c r="D1480" s="248"/>
      <c r="E1480" s="214"/>
      <c r="F1480" s="167">
        <f t="shared" si="72"/>
        <v>0</v>
      </c>
    </row>
    <row r="1481" spans="1:6" ht="20.25" hidden="1">
      <c r="A1481" s="206" t="s">
        <v>278</v>
      </c>
      <c r="B1481" s="220"/>
      <c r="C1481" s="224" t="s">
        <v>279</v>
      </c>
      <c r="D1481" s="248"/>
      <c r="E1481" s="214"/>
      <c r="F1481" s="167">
        <f t="shared" si="72"/>
        <v>0</v>
      </c>
    </row>
    <row r="1482" spans="1:6" ht="20.25" hidden="1">
      <c r="A1482" s="206" t="s">
        <v>629</v>
      </c>
      <c r="B1482" s="220"/>
      <c r="C1482" s="224" t="s">
        <v>602</v>
      </c>
      <c r="D1482" s="248"/>
      <c r="E1482" s="214"/>
      <c r="F1482" s="167">
        <f t="shared" si="72"/>
        <v>0</v>
      </c>
    </row>
    <row r="1483" spans="1:6" ht="20.25" hidden="1">
      <c r="A1483" s="242"/>
      <c r="B1483" s="243"/>
      <c r="C1483" s="224"/>
      <c r="D1483" s="248"/>
      <c r="E1483" s="214"/>
      <c r="F1483" s="167">
        <f t="shared" si="72"/>
        <v>0</v>
      </c>
    </row>
    <row r="1484" spans="1:6" ht="20.25">
      <c r="A1484" s="237" t="s">
        <v>659</v>
      </c>
      <c r="B1484" s="474"/>
      <c r="C1484" s="224">
        <v>59</v>
      </c>
      <c r="D1484" s="248">
        <f>D1485+D1486</f>
        <v>23746</v>
      </c>
      <c r="E1484" s="214">
        <f>E1485+E1486</f>
        <v>0</v>
      </c>
      <c r="F1484" s="167">
        <f t="shared" si="72"/>
        <v>23746</v>
      </c>
    </row>
    <row r="1485" spans="1:6" ht="20.25">
      <c r="A1485" s="242"/>
      <c r="B1485" s="243" t="s">
        <v>898</v>
      </c>
      <c r="C1485" s="224" t="s">
        <v>619</v>
      </c>
      <c r="D1485" s="248">
        <f>210+75+105</f>
        <v>390</v>
      </c>
      <c r="E1485" s="214"/>
      <c r="F1485" s="167">
        <f t="shared" si="72"/>
        <v>390</v>
      </c>
    </row>
    <row r="1486" spans="1:6" ht="20.25">
      <c r="A1486" s="242"/>
      <c r="B1486" s="222" t="s">
        <v>897</v>
      </c>
      <c r="C1486" s="224" t="s">
        <v>267</v>
      </c>
      <c r="D1486" s="248">
        <f>32816-210+1480-6075-4655</f>
        <v>23356</v>
      </c>
      <c r="E1486" s="214"/>
      <c r="F1486" s="167">
        <f t="shared" si="72"/>
        <v>23356</v>
      </c>
    </row>
    <row r="1487" spans="1:6" ht="20.25">
      <c r="A1487" s="526" t="s">
        <v>1015</v>
      </c>
      <c r="B1487" s="529"/>
      <c r="C1487" s="224">
        <v>85</v>
      </c>
      <c r="D1487" s="367">
        <f>D1488</f>
        <v>-35.380000000000003</v>
      </c>
      <c r="E1487" s="214"/>
      <c r="F1487" s="167">
        <f t="shared" si="72"/>
        <v>-35.380000000000003</v>
      </c>
    </row>
    <row r="1488" spans="1:6" ht="20.25">
      <c r="A1488" s="459"/>
      <c r="B1488" s="220" t="s">
        <v>311</v>
      </c>
      <c r="C1488" s="224" t="s">
        <v>312</v>
      </c>
      <c r="D1488" s="248">
        <v>-35.380000000000003</v>
      </c>
      <c r="E1488" s="214"/>
      <c r="F1488" s="167">
        <f t="shared" si="72"/>
        <v>-35.380000000000003</v>
      </c>
    </row>
    <row r="1489" spans="1:6" ht="20.25" hidden="1">
      <c r="A1489" s="242"/>
      <c r="B1489" s="222" t="s">
        <v>1030</v>
      </c>
      <c r="C1489" s="224" t="s">
        <v>1029</v>
      </c>
      <c r="D1489" s="248"/>
      <c r="E1489" s="214"/>
      <c r="F1489" s="167">
        <f t="shared" ref="F1489:F1520" si="73">D1489+E1489</f>
        <v>0</v>
      </c>
    </row>
    <row r="1490" spans="1:6" ht="20.25">
      <c r="A1490" s="244" t="s">
        <v>173</v>
      </c>
      <c r="B1490" s="475"/>
      <c r="C1490" s="224" t="s">
        <v>594</v>
      </c>
      <c r="D1490" s="367">
        <f>D1491+D1492</f>
        <v>60878.62</v>
      </c>
      <c r="E1490" s="414">
        <f>E1491+E1492</f>
        <v>0</v>
      </c>
      <c r="F1490" s="167">
        <f t="shared" si="73"/>
        <v>60878.62</v>
      </c>
    </row>
    <row r="1491" spans="1:6" ht="20.25">
      <c r="A1491" s="244"/>
      <c r="B1491" s="475" t="s">
        <v>174</v>
      </c>
      <c r="C1491" s="224" t="s">
        <v>175</v>
      </c>
      <c r="D1491" s="367">
        <f>32192+32816-35.38-210-2354-400-400-75-655</f>
        <v>60878.62</v>
      </c>
      <c r="E1491" s="414"/>
      <c r="F1491" s="167">
        <f t="shared" si="73"/>
        <v>60878.62</v>
      </c>
    </row>
    <row r="1492" spans="1:6" ht="20.25" hidden="1">
      <c r="A1492" s="244"/>
      <c r="B1492" s="475" t="s">
        <v>436</v>
      </c>
      <c r="C1492" s="224" t="s">
        <v>437</v>
      </c>
      <c r="D1492" s="248"/>
      <c r="E1492" s="214"/>
      <c r="F1492" s="167">
        <f t="shared" si="73"/>
        <v>0</v>
      </c>
    </row>
    <row r="1493" spans="1:6" ht="20.25">
      <c r="A1493" s="244" t="s">
        <v>899</v>
      </c>
      <c r="B1493" s="475"/>
      <c r="C1493" s="224" t="s">
        <v>900</v>
      </c>
      <c r="D1493" s="248">
        <f>210+75+105</f>
        <v>390</v>
      </c>
      <c r="E1493" s="214"/>
      <c r="F1493" s="167">
        <f t="shared" si="73"/>
        <v>390</v>
      </c>
    </row>
    <row r="1494" spans="1:6" ht="20.25" hidden="1">
      <c r="A1494" s="271"/>
      <c r="B1494" s="474"/>
      <c r="C1494" s="224"/>
      <c r="D1494" s="248"/>
      <c r="E1494" s="214"/>
      <c r="F1494" s="167">
        <f t="shared" si="73"/>
        <v>0</v>
      </c>
    </row>
    <row r="1495" spans="1:6" ht="20.25" hidden="1">
      <c r="A1495" s="272"/>
      <c r="B1495" s="277"/>
      <c r="C1495" s="224" t="s">
        <v>176</v>
      </c>
      <c r="D1495" s="248"/>
      <c r="E1495" s="214"/>
      <c r="F1495" s="167">
        <f t="shared" si="73"/>
        <v>0</v>
      </c>
    </row>
    <row r="1496" spans="1:6" ht="20.25" hidden="1">
      <c r="A1496" s="263"/>
      <c r="B1496" s="264" t="s">
        <v>177</v>
      </c>
      <c r="C1496" s="202" t="s">
        <v>597</v>
      </c>
      <c r="D1496" s="350">
        <f>D1525</f>
        <v>0</v>
      </c>
      <c r="E1496" s="409">
        <f>E1525</f>
        <v>0</v>
      </c>
      <c r="F1496" s="167">
        <f t="shared" si="73"/>
        <v>0</v>
      </c>
    </row>
    <row r="1497" spans="1:6" ht="20.25" hidden="1">
      <c r="A1497" s="247" t="s">
        <v>99</v>
      </c>
      <c r="B1497" s="474"/>
      <c r="C1497" s="235" t="s">
        <v>49</v>
      </c>
      <c r="D1497" s="367">
        <f>D1500+D1505+D1499</f>
        <v>0</v>
      </c>
      <c r="E1497" s="414">
        <f>E1500+E1505+E1499</f>
        <v>0</v>
      </c>
      <c r="F1497" s="167">
        <f t="shared" si="73"/>
        <v>0</v>
      </c>
    </row>
    <row r="1498" spans="1:6" ht="20.25" hidden="1">
      <c r="A1498" s="204" t="s">
        <v>561</v>
      </c>
      <c r="B1498" s="474"/>
      <c r="C1498" s="235">
        <v>10</v>
      </c>
      <c r="D1498" s="248"/>
      <c r="E1498" s="214"/>
      <c r="F1498" s="167">
        <f t="shared" si="73"/>
        <v>0</v>
      </c>
    </row>
    <row r="1499" spans="1:6" ht="20.25" hidden="1">
      <c r="A1499" s="206" t="s">
        <v>562</v>
      </c>
      <c r="B1499" s="474"/>
      <c r="C1499" s="224">
        <v>20</v>
      </c>
      <c r="D1499" s="248"/>
      <c r="E1499" s="214"/>
      <c r="F1499" s="167">
        <f t="shared" si="73"/>
        <v>0</v>
      </c>
    </row>
    <row r="1500" spans="1:6" ht="20.25" hidden="1">
      <c r="A1500" s="219" t="s">
        <v>612</v>
      </c>
      <c r="B1500" s="474"/>
      <c r="C1500" s="235" t="s">
        <v>159</v>
      </c>
      <c r="D1500" s="248">
        <f>D1501</f>
        <v>0</v>
      </c>
      <c r="E1500" s="214">
        <f>E1501</f>
        <v>0</v>
      </c>
      <c r="F1500" s="167">
        <f t="shared" si="73"/>
        <v>0</v>
      </c>
    </row>
    <row r="1501" spans="1:6" ht="20.25" hidden="1">
      <c r="A1501" s="219" t="s">
        <v>160</v>
      </c>
      <c r="B1501" s="474"/>
      <c r="C1501" s="235" t="s">
        <v>67</v>
      </c>
      <c r="D1501" s="248">
        <f>D1504</f>
        <v>0</v>
      </c>
      <c r="E1501" s="214">
        <f>E1504</f>
        <v>0</v>
      </c>
      <c r="F1501" s="167">
        <f t="shared" si="73"/>
        <v>0</v>
      </c>
    </row>
    <row r="1502" spans="1:6" ht="20.25" hidden="1">
      <c r="A1502" s="215"/>
      <c r="B1502" s="220" t="s">
        <v>438</v>
      </c>
      <c r="C1502" s="224" t="s">
        <v>260</v>
      </c>
      <c r="D1502" s="248"/>
      <c r="E1502" s="214"/>
      <c r="F1502" s="167">
        <f t="shared" si="73"/>
        <v>0</v>
      </c>
    </row>
    <row r="1503" spans="1:6" ht="20.25" hidden="1">
      <c r="A1503" s="215"/>
      <c r="B1503" s="222" t="s">
        <v>323</v>
      </c>
      <c r="C1503" s="235" t="s">
        <v>258</v>
      </c>
      <c r="D1503" s="248"/>
      <c r="E1503" s="214"/>
      <c r="F1503" s="167">
        <f t="shared" si="73"/>
        <v>0</v>
      </c>
    </row>
    <row r="1504" spans="1:6" ht="20.25" hidden="1">
      <c r="A1504" s="215"/>
      <c r="B1504" s="220" t="s">
        <v>624</v>
      </c>
      <c r="C1504" s="224" t="s">
        <v>625</v>
      </c>
      <c r="D1504" s="248"/>
      <c r="E1504" s="214"/>
      <c r="F1504" s="167">
        <f t="shared" si="73"/>
        <v>0</v>
      </c>
    </row>
    <row r="1505" spans="1:6" ht="36" hidden="1">
      <c r="A1505" s="215"/>
      <c r="B1505" s="208" t="s">
        <v>321</v>
      </c>
      <c r="C1505" s="235">
        <v>56</v>
      </c>
      <c r="D1505" s="248"/>
      <c r="E1505" s="214"/>
      <c r="F1505" s="167">
        <f t="shared" si="73"/>
        <v>0</v>
      </c>
    </row>
    <row r="1506" spans="1:6" ht="20.25" hidden="1">
      <c r="A1506" s="215"/>
      <c r="B1506" s="222" t="s">
        <v>315</v>
      </c>
      <c r="C1506" s="224" t="s">
        <v>324</v>
      </c>
      <c r="D1506" s="248"/>
      <c r="E1506" s="214"/>
      <c r="F1506" s="167">
        <f t="shared" si="73"/>
        <v>0</v>
      </c>
    </row>
    <row r="1507" spans="1:6" ht="20.25" hidden="1">
      <c r="A1507" s="231"/>
      <c r="B1507" s="474"/>
      <c r="C1507" s="224">
        <v>70</v>
      </c>
      <c r="D1507" s="367">
        <f>D1508</f>
        <v>0</v>
      </c>
      <c r="E1507" s="414">
        <f>E1508</f>
        <v>0</v>
      </c>
      <c r="F1507" s="167">
        <f t="shared" si="73"/>
        <v>0</v>
      </c>
    </row>
    <row r="1508" spans="1:6" ht="20.25" hidden="1">
      <c r="A1508" s="238"/>
      <c r="B1508" s="474"/>
      <c r="C1508" s="224">
        <v>71</v>
      </c>
      <c r="D1508" s="367"/>
      <c r="E1508" s="414"/>
      <c r="F1508" s="167">
        <f t="shared" si="73"/>
        <v>0</v>
      </c>
    </row>
    <row r="1509" spans="1:6" ht="20.25" hidden="1">
      <c r="A1509" s="219" t="s">
        <v>110</v>
      </c>
      <c r="B1509" s="474"/>
      <c r="C1509" s="224" t="s">
        <v>80</v>
      </c>
      <c r="D1509" s="367"/>
      <c r="E1509" s="414"/>
      <c r="F1509" s="167">
        <f t="shared" si="73"/>
        <v>0</v>
      </c>
    </row>
    <row r="1510" spans="1:6" ht="20.25" hidden="1">
      <c r="A1510" s="219"/>
      <c r="B1510" s="218" t="s">
        <v>81</v>
      </c>
      <c r="C1510" s="241" t="s">
        <v>82</v>
      </c>
      <c r="D1510" s="367"/>
      <c r="E1510" s="414"/>
      <c r="F1510" s="167">
        <f t="shared" si="73"/>
        <v>0</v>
      </c>
    </row>
    <row r="1511" spans="1:6" ht="20.25" hidden="1">
      <c r="A1511" s="219"/>
      <c r="B1511" s="220" t="s">
        <v>83</v>
      </c>
      <c r="C1511" s="241" t="s">
        <v>84</v>
      </c>
      <c r="D1511" s="367"/>
      <c r="E1511" s="414"/>
      <c r="F1511" s="167">
        <f t="shared" si="73"/>
        <v>0</v>
      </c>
    </row>
    <row r="1512" spans="1:6" ht="20.25" hidden="1">
      <c r="A1512" s="219"/>
      <c r="B1512" s="220" t="s">
        <v>94</v>
      </c>
      <c r="C1512" s="241" t="s">
        <v>86</v>
      </c>
      <c r="D1512" s="367"/>
      <c r="E1512" s="414"/>
      <c r="F1512" s="167">
        <f t="shared" si="73"/>
        <v>0</v>
      </c>
    </row>
    <row r="1513" spans="1:6" ht="20.25" hidden="1">
      <c r="A1513" s="219"/>
      <c r="B1513" s="220" t="s">
        <v>87</v>
      </c>
      <c r="C1513" s="241" t="s">
        <v>88</v>
      </c>
      <c r="D1513" s="367"/>
      <c r="E1513" s="414"/>
      <c r="F1513" s="167">
        <f t="shared" si="73"/>
        <v>0</v>
      </c>
    </row>
    <row r="1514" spans="1:6" ht="20.25" hidden="1">
      <c r="A1514" s="526" t="s">
        <v>268</v>
      </c>
      <c r="B1514" s="529"/>
      <c r="C1514" s="241" t="s">
        <v>269</v>
      </c>
      <c r="D1514" s="367"/>
      <c r="E1514" s="414"/>
      <c r="F1514" s="167">
        <f t="shared" si="73"/>
        <v>0</v>
      </c>
    </row>
    <row r="1515" spans="1:6" ht="20.25" hidden="1">
      <c r="A1515" s="242"/>
      <c r="B1515" s="243"/>
      <c r="C1515" s="224"/>
      <c r="D1515" s="367"/>
      <c r="E1515" s="414"/>
      <c r="F1515" s="167">
        <f t="shared" si="73"/>
        <v>0</v>
      </c>
    </row>
    <row r="1516" spans="1:6" ht="20.25" hidden="1">
      <c r="A1516" s="242"/>
      <c r="B1516" s="243"/>
      <c r="C1516" s="224"/>
      <c r="D1516" s="367"/>
      <c r="E1516" s="414"/>
      <c r="F1516" s="167">
        <f t="shared" si="73"/>
        <v>0</v>
      </c>
    </row>
    <row r="1517" spans="1:6" ht="20.25" hidden="1">
      <c r="A1517" s="242"/>
      <c r="B1517" s="243" t="s">
        <v>318</v>
      </c>
      <c r="C1517" s="224">
        <v>85</v>
      </c>
      <c r="D1517" s="367">
        <f>D1518</f>
        <v>0</v>
      </c>
      <c r="E1517" s="414">
        <f>E1518</f>
        <v>0</v>
      </c>
      <c r="F1517" s="167">
        <f t="shared" si="73"/>
        <v>0</v>
      </c>
    </row>
    <row r="1518" spans="1:6" ht="20.25" hidden="1">
      <c r="A1518" s="242"/>
      <c r="B1518" s="220" t="s">
        <v>311</v>
      </c>
      <c r="C1518" s="224" t="s">
        <v>312</v>
      </c>
      <c r="D1518" s="367"/>
      <c r="E1518" s="414"/>
      <c r="F1518" s="167">
        <f t="shared" si="73"/>
        <v>0</v>
      </c>
    </row>
    <row r="1519" spans="1:6" ht="20.25" hidden="1">
      <c r="A1519" s="244" t="s">
        <v>178</v>
      </c>
      <c r="B1519" s="220"/>
      <c r="C1519" s="224" t="s">
        <v>179</v>
      </c>
      <c r="D1519" s="367">
        <f>SUM(D1522:D1525)</f>
        <v>0</v>
      </c>
      <c r="E1519" s="414">
        <f>SUM(E1522:E1525)</f>
        <v>0</v>
      </c>
      <c r="F1519" s="167">
        <f t="shared" si="73"/>
        <v>0</v>
      </c>
    </row>
    <row r="1520" spans="1:6" ht="20.25" hidden="1">
      <c r="A1520" s="244"/>
      <c r="B1520" s="278"/>
      <c r="C1520" s="279"/>
      <c r="D1520" s="367"/>
      <c r="E1520" s="414"/>
      <c r="F1520" s="167">
        <f t="shared" si="73"/>
        <v>0</v>
      </c>
    </row>
    <row r="1521" spans="1:6" ht="20.25" hidden="1">
      <c r="A1521" s="244"/>
      <c r="B1521" s="278"/>
      <c r="C1521" s="279"/>
      <c r="D1521" s="367"/>
      <c r="E1521" s="414"/>
      <c r="F1521" s="167">
        <f t="shared" ref="F1521:F1552" si="74">D1521+E1521</f>
        <v>0</v>
      </c>
    </row>
    <row r="1522" spans="1:6" ht="20.25" hidden="1">
      <c r="A1522" s="263"/>
      <c r="B1522" s="475" t="s">
        <v>598</v>
      </c>
      <c r="C1522" s="224" t="s">
        <v>599</v>
      </c>
      <c r="D1522" s="367"/>
      <c r="E1522" s="414"/>
      <c r="F1522" s="167">
        <f t="shared" si="74"/>
        <v>0</v>
      </c>
    </row>
    <row r="1523" spans="1:6" ht="20.25" hidden="1">
      <c r="A1523" s="263"/>
      <c r="B1523" s="475" t="s">
        <v>440</v>
      </c>
      <c r="C1523" s="224" t="s">
        <v>441</v>
      </c>
      <c r="D1523" s="367"/>
      <c r="E1523" s="414"/>
      <c r="F1523" s="167">
        <f t="shared" si="74"/>
        <v>0</v>
      </c>
    </row>
    <row r="1524" spans="1:6" ht="20.25" hidden="1">
      <c r="A1524" s="263"/>
      <c r="B1524" s="475" t="s">
        <v>442</v>
      </c>
      <c r="C1524" s="224" t="s">
        <v>443</v>
      </c>
      <c r="D1524" s="367"/>
      <c r="E1524" s="414"/>
      <c r="F1524" s="167">
        <f t="shared" si="74"/>
        <v>0</v>
      </c>
    </row>
    <row r="1525" spans="1:6" ht="20.25" hidden="1">
      <c r="A1525" s="263"/>
      <c r="B1525" s="220" t="s">
        <v>600</v>
      </c>
      <c r="C1525" s="224" t="s">
        <v>601</v>
      </c>
      <c r="D1525" s="367"/>
      <c r="E1525" s="414"/>
      <c r="F1525" s="167">
        <f t="shared" si="74"/>
        <v>0</v>
      </c>
    </row>
    <row r="1526" spans="1:6" ht="20.25" hidden="1">
      <c r="A1526" s="280"/>
      <c r="B1526" s="281"/>
      <c r="C1526" s="224"/>
      <c r="D1526" s="367"/>
      <c r="E1526" s="414"/>
      <c r="F1526" s="167">
        <f t="shared" si="74"/>
        <v>0</v>
      </c>
    </row>
    <row r="1527" spans="1:6" ht="20.25" hidden="1" customHeight="1">
      <c r="A1527" s="263"/>
      <c r="B1527" s="264" t="s">
        <v>180</v>
      </c>
      <c r="C1527" s="202" t="s">
        <v>602</v>
      </c>
      <c r="D1527" s="350"/>
      <c r="E1527" s="409"/>
      <c r="F1527" s="167">
        <f t="shared" si="74"/>
        <v>0</v>
      </c>
    </row>
    <row r="1528" spans="1:6" ht="20.25" hidden="1" customHeight="1">
      <c r="A1528" s="247" t="s">
        <v>99</v>
      </c>
      <c r="B1528" s="474"/>
      <c r="C1528" s="235" t="s">
        <v>49</v>
      </c>
      <c r="D1528" s="367"/>
      <c r="E1528" s="414"/>
      <c r="F1528" s="167">
        <f t="shared" si="74"/>
        <v>0</v>
      </c>
    </row>
    <row r="1529" spans="1:6" ht="20.25" hidden="1" customHeight="1">
      <c r="A1529" s="204" t="s">
        <v>561</v>
      </c>
      <c r="B1529" s="474"/>
      <c r="C1529" s="235">
        <v>10</v>
      </c>
      <c r="D1529" s="367"/>
      <c r="E1529" s="414"/>
      <c r="F1529" s="167">
        <f t="shared" si="74"/>
        <v>0</v>
      </c>
    </row>
    <row r="1530" spans="1:6" ht="20.25" hidden="1" customHeight="1">
      <c r="A1530" s="206" t="s">
        <v>562</v>
      </c>
      <c r="B1530" s="474"/>
      <c r="C1530" s="224">
        <v>20</v>
      </c>
      <c r="D1530" s="367"/>
      <c r="E1530" s="414"/>
      <c r="F1530" s="167">
        <f t="shared" si="74"/>
        <v>0</v>
      </c>
    </row>
    <row r="1531" spans="1:6" ht="20.25" hidden="1" customHeight="1">
      <c r="A1531" s="219" t="s">
        <v>611</v>
      </c>
      <c r="B1531" s="474"/>
      <c r="C1531" s="235" t="s">
        <v>52</v>
      </c>
      <c r="D1531" s="367"/>
      <c r="E1531" s="414"/>
      <c r="F1531" s="167">
        <f t="shared" si="74"/>
        <v>0</v>
      </c>
    </row>
    <row r="1532" spans="1:6" ht="20.25" hidden="1" customHeight="1">
      <c r="A1532" s="219" t="s">
        <v>53</v>
      </c>
      <c r="B1532" s="474"/>
      <c r="C1532" s="235" t="s">
        <v>626</v>
      </c>
      <c r="D1532" s="367"/>
      <c r="E1532" s="414"/>
      <c r="F1532" s="167">
        <f t="shared" si="74"/>
        <v>0</v>
      </c>
    </row>
    <row r="1533" spans="1:6" ht="20.25" hidden="1" customHeight="1">
      <c r="A1533" s="282"/>
      <c r="B1533" s="474"/>
      <c r="C1533" s="235" t="s">
        <v>592</v>
      </c>
      <c r="D1533" s="367"/>
      <c r="E1533" s="414"/>
      <c r="F1533" s="167">
        <f t="shared" si="74"/>
        <v>0</v>
      </c>
    </row>
    <row r="1534" spans="1:6" ht="20.25" hidden="1" customHeight="1">
      <c r="A1534" s="219" t="s">
        <v>55</v>
      </c>
      <c r="B1534" s="474"/>
      <c r="C1534" s="224" t="s">
        <v>56</v>
      </c>
      <c r="D1534" s="367"/>
      <c r="E1534" s="414"/>
      <c r="F1534" s="167">
        <f t="shared" si="74"/>
        <v>0</v>
      </c>
    </row>
    <row r="1535" spans="1:6" ht="20.25" hidden="1" customHeight="1">
      <c r="A1535" s="215"/>
      <c r="B1535" s="222" t="s">
        <v>100</v>
      </c>
      <c r="C1535" s="224" t="s">
        <v>58</v>
      </c>
      <c r="D1535" s="367"/>
      <c r="E1535" s="414"/>
      <c r="F1535" s="167">
        <f t="shared" si="74"/>
        <v>0</v>
      </c>
    </row>
    <row r="1536" spans="1:6" ht="20.25" hidden="1" customHeight="1">
      <c r="A1536" s="215"/>
      <c r="B1536" s="460"/>
      <c r="C1536" s="235">
        <v>55</v>
      </c>
      <c r="D1536" s="367"/>
      <c r="E1536" s="414"/>
      <c r="F1536" s="167">
        <f t="shared" si="74"/>
        <v>0</v>
      </c>
    </row>
    <row r="1537" spans="1:6" ht="20.25" hidden="1" customHeight="1">
      <c r="A1537" s="219" t="s">
        <v>444</v>
      </c>
      <c r="B1537" s="460"/>
      <c r="C1537" s="224" t="s">
        <v>67</v>
      </c>
      <c r="D1537" s="367"/>
      <c r="E1537" s="414"/>
      <c r="F1537" s="167">
        <f t="shared" si="74"/>
        <v>0</v>
      </c>
    </row>
    <row r="1538" spans="1:6" ht="36" hidden="1" customHeight="1">
      <c r="A1538" s="215"/>
      <c r="B1538" s="220" t="s">
        <v>68</v>
      </c>
      <c r="C1538" s="224" t="s">
        <v>622</v>
      </c>
      <c r="D1538" s="367"/>
      <c r="E1538" s="414"/>
      <c r="F1538" s="167">
        <f t="shared" si="74"/>
        <v>0</v>
      </c>
    </row>
    <row r="1539" spans="1:6" ht="20.25" hidden="1" customHeight="1">
      <c r="A1539" s="231"/>
      <c r="B1539" s="474"/>
      <c r="C1539" s="224">
        <v>70</v>
      </c>
      <c r="D1539" s="367"/>
      <c r="E1539" s="414"/>
      <c r="F1539" s="167">
        <f t="shared" si="74"/>
        <v>0</v>
      </c>
    </row>
    <row r="1540" spans="1:6" ht="20.25" hidden="1" customHeight="1">
      <c r="A1540" s="238"/>
      <c r="B1540" s="474"/>
      <c r="C1540" s="224">
        <v>71</v>
      </c>
      <c r="D1540" s="367"/>
      <c r="E1540" s="414"/>
      <c r="F1540" s="167">
        <f t="shared" si="74"/>
        <v>0</v>
      </c>
    </row>
    <row r="1541" spans="1:6" ht="20.25" hidden="1" customHeight="1">
      <c r="A1541" s="219" t="s">
        <v>127</v>
      </c>
      <c r="B1541" s="474"/>
      <c r="C1541" s="224" t="s">
        <v>80</v>
      </c>
      <c r="D1541" s="367"/>
      <c r="E1541" s="414"/>
      <c r="F1541" s="167">
        <f t="shared" si="74"/>
        <v>0</v>
      </c>
    </row>
    <row r="1542" spans="1:6" ht="20.25" hidden="1" customHeight="1">
      <c r="A1542" s="219"/>
      <c r="B1542" s="218" t="s">
        <v>81</v>
      </c>
      <c r="C1542" s="241" t="s">
        <v>82</v>
      </c>
      <c r="D1542" s="367"/>
      <c r="E1542" s="414"/>
      <c r="F1542" s="167">
        <f t="shared" si="74"/>
        <v>0</v>
      </c>
    </row>
    <row r="1543" spans="1:6" ht="20.25" hidden="1" customHeight="1">
      <c r="A1543" s="219"/>
      <c r="B1543" s="220" t="s">
        <v>83</v>
      </c>
      <c r="C1543" s="241" t="s">
        <v>84</v>
      </c>
      <c r="D1543" s="367"/>
      <c r="E1543" s="414"/>
      <c r="F1543" s="167">
        <f t="shared" si="74"/>
        <v>0</v>
      </c>
    </row>
    <row r="1544" spans="1:6" ht="20.25" hidden="1" customHeight="1">
      <c r="A1544" s="219"/>
      <c r="B1544" s="220" t="s">
        <v>94</v>
      </c>
      <c r="C1544" s="241" t="s">
        <v>86</v>
      </c>
      <c r="D1544" s="367"/>
      <c r="E1544" s="414"/>
      <c r="F1544" s="167">
        <f t="shared" si="74"/>
        <v>0</v>
      </c>
    </row>
    <row r="1545" spans="1:6" ht="20.25" hidden="1" customHeight="1">
      <c r="A1545" s="219"/>
      <c r="B1545" s="220" t="s">
        <v>445</v>
      </c>
      <c r="C1545" s="241" t="s">
        <v>88</v>
      </c>
      <c r="D1545" s="367"/>
      <c r="E1545" s="414"/>
      <c r="F1545" s="167">
        <f t="shared" si="74"/>
        <v>0</v>
      </c>
    </row>
    <row r="1546" spans="1:6" ht="20.25" hidden="1" customHeight="1">
      <c r="A1546" s="526" t="s">
        <v>268</v>
      </c>
      <c r="B1546" s="529"/>
      <c r="C1546" s="241" t="s">
        <v>269</v>
      </c>
      <c r="D1546" s="367"/>
      <c r="E1546" s="414"/>
      <c r="F1546" s="167">
        <f t="shared" si="74"/>
        <v>0</v>
      </c>
    </row>
    <row r="1547" spans="1:6" ht="20.25" hidden="1" customHeight="1">
      <c r="A1547" s="215"/>
      <c r="B1547" s="220"/>
      <c r="C1547" s="224">
        <v>79</v>
      </c>
      <c r="D1547" s="367"/>
      <c r="E1547" s="414"/>
      <c r="F1547" s="167">
        <f t="shared" si="74"/>
        <v>0</v>
      </c>
    </row>
    <row r="1548" spans="1:6" ht="20.25" hidden="1" customHeight="1">
      <c r="A1548" s="219"/>
      <c r="B1548" s="220"/>
      <c r="C1548" s="224">
        <v>81</v>
      </c>
      <c r="D1548" s="367"/>
      <c r="E1548" s="414"/>
      <c r="F1548" s="167">
        <f t="shared" si="74"/>
        <v>0</v>
      </c>
    </row>
    <row r="1549" spans="1:6" ht="20.25" hidden="1" customHeight="1">
      <c r="A1549" s="206" t="s">
        <v>278</v>
      </c>
      <c r="B1549" s="220"/>
      <c r="C1549" s="224" t="s">
        <v>279</v>
      </c>
      <c r="D1549" s="367"/>
      <c r="E1549" s="414"/>
      <c r="F1549" s="167">
        <f t="shared" si="74"/>
        <v>0</v>
      </c>
    </row>
    <row r="1550" spans="1:6" ht="20.25" hidden="1" customHeight="1">
      <c r="A1550" s="206" t="s">
        <v>629</v>
      </c>
      <c r="B1550" s="220"/>
      <c r="C1550" s="224" t="s">
        <v>602</v>
      </c>
      <c r="D1550" s="367"/>
      <c r="E1550" s="414"/>
      <c r="F1550" s="167">
        <f t="shared" si="74"/>
        <v>0</v>
      </c>
    </row>
    <row r="1551" spans="1:6" ht="20.25" hidden="1" customHeight="1">
      <c r="A1551" s="242"/>
      <c r="B1551" s="243"/>
      <c r="C1551" s="224"/>
      <c r="D1551" s="367"/>
      <c r="E1551" s="414"/>
      <c r="F1551" s="167">
        <f t="shared" si="74"/>
        <v>0</v>
      </c>
    </row>
    <row r="1552" spans="1:6" ht="20.25" hidden="1" customHeight="1">
      <c r="A1552" s="244" t="s">
        <v>181</v>
      </c>
      <c r="B1552" s="220"/>
      <c r="C1552" s="224" t="s">
        <v>627</v>
      </c>
      <c r="D1552" s="248"/>
      <c r="E1552" s="214"/>
      <c r="F1552" s="167">
        <f t="shared" si="74"/>
        <v>0</v>
      </c>
    </row>
    <row r="1553" spans="1:6" ht="20.25" hidden="1" customHeight="1">
      <c r="A1553" s="244" t="s">
        <v>446</v>
      </c>
      <c r="B1553" s="220"/>
      <c r="C1553" s="224" t="s">
        <v>447</v>
      </c>
      <c r="D1553" s="248"/>
      <c r="E1553" s="214"/>
      <c r="F1553" s="167">
        <f t="shared" ref="F1553:F1584" si="75">D1553+E1553</f>
        <v>0</v>
      </c>
    </row>
    <row r="1554" spans="1:6" ht="20.25" hidden="1" customHeight="1">
      <c r="A1554" s="236" t="s">
        <v>448</v>
      </c>
      <c r="B1554" s="220"/>
      <c r="C1554" s="224" t="s">
        <v>449</v>
      </c>
      <c r="D1554" s="248"/>
      <c r="E1554" s="214"/>
      <c r="F1554" s="167">
        <f t="shared" si="75"/>
        <v>0</v>
      </c>
    </row>
    <row r="1555" spans="1:6" ht="20.25" hidden="1" customHeight="1">
      <c r="A1555" s="242"/>
      <c r="B1555" s="243"/>
      <c r="C1555" s="224"/>
      <c r="D1555" s="248"/>
      <c r="E1555" s="214"/>
      <c r="F1555" s="167">
        <f t="shared" si="75"/>
        <v>0</v>
      </c>
    </row>
    <row r="1556" spans="1:6" ht="20.25" hidden="1" customHeight="1">
      <c r="A1556" s="204" t="s">
        <v>182</v>
      </c>
      <c r="B1556" s="277"/>
      <c r="C1556" s="202" t="s">
        <v>603</v>
      </c>
      <c r="D1556" s="349">
        <f>D1579</f>
        <v>0</v>
      </c>
      <c r="E1556" s="354">
        <f>E1579</f>
        <v>0</v>
      </c>
      <c r="F1556" s="167">
        <f t="shared" si="75"/>
        <v>0</v>
      </c>
    </row>
    <row r="1557" spans="1:6" ht="20.25" hidden="1" customHeight="1">
      <c r="A1557" s="247" t="s">
        <v>99</v>
      </c>
      <c r="B1557" s="474"/>
      <c r="C1557" s="235" t="s">
        <v>49</v>
      </c>
      <c r="D1557" s="248">
        <f>D1563+D1558+D1559+D1560</f>
        <v>0</v>
      </c>
      <c r="E1557" s="214">
        <f>E1563+E1558+E1559+E1560</f>
        <v>0</v>
      </c>
      <c r="F1557" s="167">
        <f t="shared" si="75"/>
        <v>0</v>
      </c>
    </row>
    <row r="1558" spans="1:6" ht="20.25" hidden="1" customHeight="1">
      <c r="A1558" s="204" t="s">
        <v>561</v>
      </c>
      <c r="B1558" s="474"/>
      <c r="C1558" s="235">
        <v>10</v>
      </c>
      <c r="D1558" s="248"/>
      <c r="E1558" s="214"/>
      <c r="F1558" s="167">
        <f t="shared" si="75"/>
        <v>0</v>
      </c>
    </row>
    <row r="1559" spans="1:6" ht="20.25" hidden="1" customHeight="1">
      <c r="A1559" s="206" t="s">
        <v>562</v>
      </c>
      <c r="B1559" s="474"/>
      <c r="C1559" s="224">
        <v>20</v>
      </c>
      <c r="D1559" s="248"/>
      <c r="E1559" s="214"/>
      <c r="F1559" s="167">
        <f t="shared" si="75"/>
        <v>0</v>
      </c>
    </row>
    <row r="1560" spans="1:6" ht="20.25" hidden="1" customHeight="1">
      <c r="A1560" s="219" t="s">
        <v>54</v>
      </c>
      <c r="B1560" s="474"/>
      <c r="C1560" s="235" t="s">
        <v>592</v>
      </c>
      <c r="D1560" s="248"/>
      <c r="E1560" s="214"/>
      <c r="F1560" s="167">
        <f t="shared" si="75"/>
        <v>0</v>
      </c>
    </row>
    <row r="1561" spans="1:6" ht="20.25" hidden="1" customHeight="1">
      <c r="A1561" s="215"/>
      <c r="B1561" s="474"/>
      <c r="C1561" s="224" t="s">
        <v>56</v>
      </c>
      <c r="D1561" s="248"/>
      <c r="E1561" s="214"/>
      <c r="F1561" s="167">
        <f t="shared" si="75"/>
        <v>0</v>
      </c>
    </row>
    <row r="1562" spans="1:6" ht="20.25" hidden="1" customHeight="1">
      <c r="A1562" s="215"/>
      <c r="B1562" s="222" t="s">
        <v>100</v>
      </c>
      <c r="C1562" s="224" t="s">
        <v>58</v>
      </c>
      <c r="D1562" s="248"/>
      <c r="E1562" s="214"/>
      <c r="F1562" s="167">
        <f t="shared" si="75"/>
        <v>0</v>
      </c>
    </row>
    <row r="1563" spans="1:6" ht="36" hidden="1" customHeight="1">
      <c r="A1563" s="215"/>
      <c r="B1563" s="208" t="s">
        <v>321</v>
      </c>
      <c r="C1563" s="235">
        <v>56</v>
      </c>
      <c r="D1563" s="248">
        <f>D1564+D1574</f>
        <v>0</v>
      </c>
      <c r="E1563" s="214">
        <f>E1564+E1574</f>
        <v>0</v>
      </c>
      <c r="F1563" s="167">
        <f t="shared" si="75"/>
        <v>0</v>
      </c>
    </row>
    <row r="1564" spans="1:6" ht="20.25" hidden="1" customHeight="1">
      <c r="A1564" s="215"/>
      <c r="B1564" s="222" t="s">
        <v>315</v>
      </c>
      <c r="C1564" s="224" t="s">
        <v>324</v>
      </c>
      <c r="D1564" s="248"/>
      <c r="E1564" s="214"/>
      <c r="F1564" s="167">
        <f t="shared" si="75"/>
        <v>0</v>
      </c>
    </row>
    <row r="1565" spans="1:6" ht="20.25" hidden="1" customHeight="1">
      <c r="A1565" s="261" t="s">
        <v>475</v>
      </c>
      <c r="B1565" s="474"/>
      <c r="C1565" s="224">
        <v>70</v>
      </c>
      <c r="D1565" s="248"/>
      <c r="E1565" s="214"/>
      <c r="F1565" s="167">
        <f t="shared" si="75"/>
        <v>0</v>
      </c>
    </row>
    <row r="1566" spans="1:6" ht="20.25" hidden="1" customHeight="1">
      <c r="A1566" s="226" t="s">
        <v>317</v>
      </c>
      <c r="B1566" s="474"/>
      <c r="C1566" s="224">
        <v>71</v>
      </c>
      <c r="D1566" s="248"/>
      <c r="E1566" s="214"/>
      <c r="F1566" s="167">
        <f t="shared" si="75"/>
        <v>0</v>
      </c>
    </row>
    <row r="1567" spans="1:6" ht="20.25" hidden="1" customHeight="1">
      <c r="A1567" s="219" t="s">
        <v>110</v>
      </c>
      <c r="B1567" s="474"/>
      <c r="C1567" s="224" t="s">
        <v>80</v>
      </c>
      <c r="D1567" s="248"/>
      <c r="E1567" s="214"/>
      <c r="F1567" s="167">
        <f t="shared" si="75"/>
        <v>0</v>
      </c>
    </row>
    <row r="1568" spans="1:6" ht="20.25" hidden="1" customHeight="1">
      <c r="A1568" s="219"/>
      <c r="B1568" s="218" t="s">
        <v>81</v>
      </c>
      <c r="C1568" s="241" t="s">
        <v>82</v>
      </c>
      <c r="D1568" s="248"/>
      <c r="E1568" s="214"/>
      <c r="F1568" s="167">
        <f t="shared" si="75"/>
        <v>0</v>
      </c>
    </row>
    <row r="1569" spans="1:6" ht="20.25" hidden="1" customHeight="1">
      <c r="A1569" s="219"/>
      <c r="B1569" s="220" t="s">
        <v>83</v>
      </c>
      <c r="C1569" s="241" t="s">
        <v>84</v>
      </c>
      <c r="D1569" s="248"/>
      <c r="E1569" s="214"/>
      <c r="F1569" s="167">
        <f t="shared" si="75"/>
        <v>0</v>
      </c>
    </row>
    <row r="1570" spans="1:6" ht="20.25" hidden="1" customHeight="1">
      <c r="A1570" s="219"/>
      <c r="B1570" s="220" t="s">
        <v>94</v>
      </c>
      <c r="C1570" s="241" t="s">
        <v>86</v>
      </c>
      <c r="D1570" s="248"/>
      <c r="E1570" s="214"/>
      <c r="F1570" s="167">
        <f t="shared" si="75"/>
        <v>0</v>
      </c>
    </row>
    <row r="1571" spans="1:6" ht="20.25" hidden="1" customHeight="1">
      <c r="A1571" s="219"/>
      <c r="B1571" s="220" t="s">
        <v>87</v>
      </c>
      <c r="C1571" s="241" t="s">
        <v>88</v>
      </c>
      <c r="D1571" s="248"/>
      <c r="E1571" s="214"/>
      <c r="F1571" s="167">
        <f t="shared" si="75"/>
        <v>0</v>
      </c>
    </row>
    <row r="1572" spans="1:6" ht="20.25" hidden="1" customHeight="1">
      <c r="A1572" s="526" t="s">
        <v>268</v>
      </c>
      <c r="B1572" s="529"/>
      <c r="C1572" s="241" t="s">
        <v>269</v>
      </c>
      <c r="D1572" s="248"/>
      <c r="E1572" s="214"/>
      <c r="F1572" s="167">
        <f t="shared" si="75"/>
        <v>0</v>
      </c>
    </row>
    <row r="1573" spans="1:6" ht="20.25" hidden="1" customHeight="1">
      <c r="A1573" s="242"/>
      <c r="B1573" s="243"/>
      <c r="C1573" s="224"/>
      <c r="D1573" s="248"/>
      <c r="E1573" s="214"/>
      <c r="F1573" s="167">
        <f t="shared" si="75"/>
        <v>0</v>
      </c>
    </row>
    <row r="1574" spans="1:6" ht="20.25" hidden="1" customHeight="1">
      <c r="A1574" s="242"/>
      <c r="B1574" s="474" t="s">
        <v>357</v>
      </c>
      <c r="C1574" s="224" t="s">
        <v>358</v>
      </c>
      <c r="D1574" s="248"/>
      <c r="E1574" s="214"/>
      <c r="F1574" s="167">
        <f t="shared" si="75"/>
        <v>0</v>
      </c>
    </row>
    <row r="1575" spans="1:6" ht="20.25" hidden="1" customHeight="1">
      <c r="A1575" s="242"/>
      <c r="B1575" s="474" t="s">
        <v>116</v>
      </c>
      <c r="C1575" s="224">
        <v>70</v>
      </c>
      <c r="D1575" s="248"/>
      <c r="E1575" s="214"/>
      <c r="F1575" s="167">
        <f t="shared" si="75"/>
        <v>0</v>
      </c>
    </row>
    <row r="1576" spans="1:6" ht="20.25" hidden="1" customHeight="1">
      <c r="A1576" s="261" t="s">
        <v>614</v>
      </c>
      <c r="B1576" s="220"/>
      <c r="C1576" s="224">
        <v>79</v>
      </c>
      <c r="D1576" s="248">
        <f>D1577</f>
        <v>0</v>
      </c>
      <c r="E1576" s="214">
        <f>E1577</f>
        <v>0</v>
      </c>
      <c r="F1576" s="167">
        <f t="shared" si="75"/>
        <v>0</v>
      </c>
    </row>
    <row r="1577" spans="1:6" ht="20.25" hidden="1" customHeight="1">
      <c r="A1577" s="242"/>
      <c r="B1577" s="220" t="s">
        <v>924</v>
      </c>
      <c r="C1577" s="224">
        <v>81</v>
      </c>
      <c r="D1577" s="367">
        <f>D1578</f>
        <v>0</v>
      </c>
      <c r="E1577" s="414">
        <f>E1578</f>
        <v>0</v>
      </c>
      <c r="F1577" s="167">
        <f t="shared" si="75"/>
        <v>0</v>
      </c>
    </row>
    <row r="1578" spans="1:6" ht="20.25" hidden="1" customHeight="1">
      <c r="A1578" s="242"/>
      <c r="B1578" s="474" t="s">
        <v>902</v>
      </c>
      <c r="C1578" s="224" t="s">
        <v>903</v>
      </c>
      <c r="D1578" s="248"/>
      <c r="E1578" s="214"/>
      <c r="F1578" s="167">
        <f t="shared" si="75"/>
        <v>0</v>
      </c>
    </row>
    <row r="1579" spans="1:6" ht="20.25" hidden="1" customHeight="1">
      <c r="A1579" s="236" t="s">
        <v>183</v>
      </c>
      <c r="B1579" s="277"/>
      <c r="C1579" s="224" t="s">
        <v>184</v>
      </c>
      <c r="D1579" s="248">
        <f>D1580+D1581</f>
        <v>0</v>
      </c>
      <c r="E1579" s="214">
        <f>E1580+E1581</f>
        <v>0</v>
      </c>
      <c r="F1579" s="167">
        <f t="shared" si="75"/>
        <v>0</v>
      </c>
    </row>
    <row r="1580" spans="1:6" ht="20.25" hidden="1" customHeight="1">
      <c r="A1580" s="236"/>
      <c r="B1580" s="475" t="s">
        <v>359</v>
      </c>
      <c r="C1580" s="224" t="s">
        <v>360</v>
      </c>
      <c r="D1580" s="248"/>
      <c r="E1580" s="214"/>
      <c r="F1580" s="167">
        <f t="shared" si="75"/>
        <v>0</v>
      </c>
    </row>
    <row r="1581" spans="1:6" ht="20.25" hidden="1" customHeight="1">
      <c r="A1581" s="236"/>
      <c r="B1581" s="220" t="s">
        <v>185</v>
      </c>
      <c r="C1581" s="241" t="s">
        <v>628</v>
      </c>
      <c r="D1581" s="367"/>
      <c r="E1581" s="414"/>
      <c r="F1581" s="167">
        <f t="shared" si="75"/>
        <v>0</v>
      </c>
    </row>
    <row r="1582" spans="1:6" ht="20.25" hidden="1">
      <c r="A1582" s="271"/>
      <c r="B1582" s="474"/>
      <c r="C1582" s="224"/>
      <c r="D1582" s="248"/>
      <c r="E1582" s="214"/>
      <c r="F1582" s="167">
        <f t="shared" si="75"/>
        <v>0</v>
      </c>
    </row>
    <row r="1583" spans="1:6" ht="20.25">
      <c r="A1583" s="283"/>
      <c r="B1583" s="284" t="s">
        <v>302</v>
      </c>
      <c r="C1583" s="202" t="s">
        <v>604</v>
      </c>
      <c r="D1583" s="350">
        <f>D1615+D1621</f>
        <v>44238.83</v>
      </c>
      <c r="E1583" s="409">
        <f>E1615+E1621</f>
        <v>0</v>
      </c>
      <c r="F1583" s="167">
        <f t="shared" si="75"/>
        <v>44238.83</v>
      </c>
    </row>
    <row r="1584" spans="1:6" ht="20.25">
      <c r="A1584" s="247" t="s">
        <v>114</v>
      </c>
      <c r="B1584" s="474"/>
      <c r="C1584" s="235" t="s">
        <v>49</v>
      </c>
      <c r="D1584" s="367">
        <f>D1585+D1586+D1587+D1589+D1592+D1597</f>
        <v>43271.83</v>
      </c>
      <c r="E1584" s="414">
        <f>E1585+E1586+E1587+E1589+E1592+E1597</f>
        <v>0</v>
      </c>
      <c r="F1584" s="167">
        <f t="shared" si="75"/>
        <v>43271.83</v>
      </c>
    </row>
    <row r="1585" spans="1:6" ht="20.25" hidden="1">
      <c r="A1585" s="204" t="s">
        <v>561</v>
      </c>
      <c r="B1585" s="474"/>
      <c r="C1585" s="235">
        <v>10</v>
      </c>
      <c r="D1585" s="248"/>
      <c r="E1585" s="214"/>
      <c r="F1585" s="167">
        <f t="shared" ref="F1585:F1616" si="76">D1585+E1585</f>
        <v>0</v>
      </c>
    </row>
    <row r="1586" spans="1:6" ht="20.25">
      <c r="A1586" s="206" t="s">
        <v>562</v>
      </c>
      <c r="B1586" s="474"/>
      <c r="C1586" s="224">
        <v>20</v>
      </c>
      <c r="D1586" s="248">
        <f>14274+28+270+1000+7000+6405</f>
        <v>28977</v>
      </c>
      <c r="E1586" s="214"/>
      <c r="F1586" s="167">
        <f t="shared" si="76"/>
        <v>28977</v>
      </c>
    </row>
    <row r="1587" spans="1:6" ht="20.25">
      <c r="A1587" s="219" t="s">
        <v>611</v>
      </c>
      <c r="B1587" s="474"/>
      <c r="C1587" s="235" t="s">
        <v>52</v>
      </c>
      <c r="D1587" s="367">
        <f>D1588</f>
        <v>14294.83</v>
      </c>
      <c r="E1587" s="414">
        <f>E1588</f>
        <v>0</v>
      </c>
      <c r="F1587" s="167">
        <f t="shared" si="76"/>
        <v>14294.83</v>
      </c>
    </row>
    <row r="1588" spans="1:6" ht="20.25">
      <c r="A1588" s="219" t="s">
        <v>53</v>
      </c>
      <c r="B1588" s="474"/>
      <c r="C1588" s="235" t="s">
        <v>626</v>
      </c>
      <c r="D1588" s="248">
        <f>5944.83-100+3050+5400</f>
        <v>14294.83</v>
      </c>
      <c r="E1588" s="214"/>
      <c r="F1588" s="167">
        <f t="shared" si="76"/>
        <v>14294.83</v>
      </c>
    </row>
    <row r="1589" spans="1:6" ht="20.25" hidden="1">
      <c r="A1589" s="282"/>
      <c r="B1589" s="474"/>
      <c r="C1589" s="235" t="s">
        <v>592</v>
      </c>
      <c r="D1589" s="248"/>
      <c r="E1589" s="214"/>
      <c r="F1589" s="167">
        <f t="shared" si="76"/>
        <v>0</v>
      </c>
    </row>
    <row r="1590" spans="1:6" ht="20.25" hidden="1">
      <c r="A1590" s="219" t="s">
        <v>105</v>
      </c>
      <c r="B1590" s="474"/>
      <c r="C1590" s="235" t="s">
        <v>56</v>
      </c>
      <c r="D1590" s="248"/>
      <c r="E1590" s="214"/>
      <c r="F1590" s="167">
        <f t="shared" si="76"/>
        <v>0</v>
      </c>
    </row>
    <row r="1591" spans="1:6" ht="20.25" hidden="1">
      <c r="A1591" s="215"/>
      <c r="B1591" s="222" t="s">
        <v>100</v>
      </c>
      <c r="C1591" s="224" t="s">
        <v>58</v>
      </c>
      <c r="D1591" s="248"/>
      <c r="E1591" s="214"/>
      <c r="F1591" s="167">
        <f t="shared" si="76"/>
        <v>0</v>
      </c>
    </row>
    <row r="1592" spans="1:6" ht="20.25" hidden="1">
      <c r="A1592" s="219" t="s">
        <v>612</v>
      </c>
      <c r="B1592" s="474"/>
      <c r="C1592" s="235" t="s">
        <v>159</v>
      </c>
      <c r="D1592" s="248"/>
      <c r="E1592" s="214"/>
      <c r="F1592" s="167">
        <f t="shared" si="76"/>
        <v>0</v>
      </c>
    </row>
    <row r="1593" spans="1:6" ht="20.25" hidden="1">
      <c r="A1593" s="219" t="s">
        <v>66</v>
      </c>
      <c r="B1593" s="474"/>
      <c r="C1593" s="224" t="s">
        <v>67</v>
      </c>
      <c r="D1593" s="248"/>
      <c r="E1593" s="214"/>
      <c r="F1593" s="167">
        <f t="shared" si="76"/>
        <v>0</v>
      </c>
    </row>
    <row r="1594" spans="1:6" ht="20.25" hidden="1">
      <c r="A1594" s="219"/>
      <c r="B1594" s="220" t="s">
        <v>68</v>
      </c>
      <c r="C1594" s="224" t="s">
        <v>622</v>
      </c>
      <c r="D1594" s="248"/>
      <c r="E1594" s="214"/>
      <c r="F1594" s="167">
        <f t="shared" si="76"/>
        <v>0</v>
      </c>
    </row>
    <row r="1595" spans="1:6" ht="20.25" hidden="1">
      <c r="A1595" s="215"/>
      <c r="B1595" s="222" t="s">
        <v>323</v>
      </c>
      <c r="C1595" s="235" t="s">
        <v>258</v>
      </c>
      <c r="D1595" s="248"/>
      <c r="E1595" s="214"/>
      <c r="F1595" s="167">
        <f t="shared" si="76"/>
        <v>0</v>
      </c>
    </row>
    <row r="1596" spans="1:6" ht="20.25" hidden="1">
      <c r="A1596" s="215"/>
      <c r="B1596" s="222" t="s">
        <v>315</v>
      </c>
      <c r="C1596" s="235">
        <v>56.01</v>
      </c>
      <c r="D1596" s="248"/>
      <c r="E1596" s="214"/>
      <c r="F1596" s="167">
        <f t="shared" si="76"/>
        <v>0</v>
      </c>
    </row>
    <row r="1597" spans="1:6" ht="36" hidden="1">
      <c r="A1597" s="261"/>
      <c r="B1597" s="208" t="s">
        <v>321</v>
      </c>
      <c r="C1597" s="235">
        <v>56</v>
      </c>
      <c r="D1597" s="367"/>
      <c r="E1597" s="414"/>
      <c r="F1597" s="167">
        <f t="shared" si="76"/>
        <v>0</v>
      </c>
    </row>
    <row r="1598" spans="1:6" ht="20.25" hidden="1">
      <c r="A1598" s="226"/>
      <c r="B1598" s="222" t="s">
        <v>315</v>
      </c>
      <c r="C1598" s="224" t="s">
        <v>324</v>
      </c>
      <c r="D1598" s="248"/>
      <c r="E1598" s="214"/>
      <c r="F1598" s="167">
        <f t="shared" si="76"/>
        <v>0</v>
      </c>
    </row>
    <row r="1599" spans="1:6" ht="20.25" hidden="1">
      <c r="A1599" s="261" t="s">
        <v>475</v>
      </c>
      <c r="B1599" s="474"/>
      <c r="C1599" s="224">
        <v>70</v>
      </c>
      <c r="D1599" s="367">
        <f>D1600+D1605</f>
        <v>0</v>
      </c>
      <c r="E1599" s="414">
        <f>E1600+E1605</f>
        <v>0</v>
      </c>
      <c r="F1599" s="167">
        <f t="shared" si="76"/>
        <v>0</v>
      </c>
    </row>
    <row r="1600" spans="1:6" ht="20.25" hidden="1">
      <c r="A1600" s="226" t="s">
        <v>925</v>
      </c>
      <c r="B1600" s="474"/>
      <c r="C1600" s="224">
        <v>71</v>
      </c>
      <c r="D1600" s="248"/>
      <c r="E1600" s="214"/>
      <c r="F1600" s="167">
        <f t="shared" si="76"/>
        <v>0</v>
      </c>
    </row>
    <row r="1601" spans="1:6" ht="20.25" hidden="1">
      <c r="A1601" s="219"/>
      <c r="B1601" s="218" t="s">
        <v>81</v>
      </c>
      <c r="C1601" s="241" t="s">
        <v>82</v>
      </c>
      <c r="D1601" s="248"/>
      <c r="E1601" s="214"/>
      <c r="F1601" s="167">
        <f t="shared" si="76"/>
        <v>0</v>
      </c>
    </row>
    <row r="1602" spans="1:6" ht="20.25" hidden="1">
      <c r="A1602" s="219"/>
      <c r="B1602" s="220" t="s">
        <v>83</v>
      </c>
      <c r="C1602" s="241" t="s">
        <v>84</v>
      </c>
      <c r="D1602" s="248"/>
      <c r="E1602" s="214"/>
      <c r="F1602" s="167">
        <f t="shared" si="76"/>
        <v>0</v>
      </c>
    </row>
    <row r="1603" spans="1:6" ht="20.25" hidden="1">
      <c r="A1603" s="219"/>
      <c r="B1603" s="220" t="s">
        <v>94</v>
      </c>
      <c r="C1603" s="241" t="s">
        <v>86</v>
      </c>
      <c r="D1603" s="248"/>
      <c r="E1603" s="214"/>
      <c r="F1603" s="167">
        <f t="shared" si="76"/>
        <v>0</v>
      </c>
    </row>
    <row r="1604" spans="1:6" ht="20.25" hidden="1">
      <c r="A1604" s="219"/>
      <c r="B1604" s="220" t="s">
        <v>87</v>
      </c>
      <c r="C1604" s="241" t="s">
        <v>88</v>
      </c>
      <c r="D1604" s="248"/>
      <c r="E1604" s="214"/>
      <c r="F1604" s="167">
        <f t="shared" si="76"/>
        <v>0</v>
      </c>
    </row>
    <row r="1605" spans="1:6" ht="20.25" hidden="1">
      <c r="A1605" s="526" t="s">
        <v>268</v>
      </c>
      <c r="B1605" s="529"/>
      <c r="C1605" s="241" t="s">
        <v>269</v>
      </c>
      <c r="D1605" s="248"/>
      <c r="E1605" s="214"/>
      <c r="F1605" s="167">
        <f t="shared" si="76"/>
        <v>0</v>
      </c>
    </row>
    <row r="1606" spans="1:6" ht="20.25" hidden="1">
      <c r="A1606" s="219"/>
      <c r="B1606" s="218"/>
      <c r="C1606" s="224">
        <v>72</v>
      </c>
      <c r="D1606" s="248"/>
      <c r="E1606" s="214"/>
      <c r="F1606" s="167">
        <f t="shared" si="76"/>
        <v>0</v>
      </c>
    </row>
    <row r="1607" spans="1:6" ht="20.25" hidden="1">
      <c r="A1607" s="229" t="s">
        <v>270</v>
      </c>
      <c r="B1607" s="218"/>
      <c r="C1607" s="224" t="s">
        <v>271</v>
      </c>
      <c r="D1607" s="248"/>
      <c r="E1607" s="214"/>
      <c r="F1607" s="167">
        <f t="shared" si="76"/>
        <v>0</v>
      </c>
    </row>
    <row r="1608" spans="1:6" ht="20.25" hidden="1">
      <c r="A1608" s="229"/>
      <c r="B1608" s="220" t="s">
        <v>427</v>
      </c>
      <c r="C1608" s="224" t="s">
        <v>273</v>
      </c>
      <c r="D1608" s="248"/>
      <c r="E1608" s="214"/>
      <c r="F1608" s="167">
        <f t="shared" si="76"/>
        <v>0</v>
      </c>
    </row>
    <row r="1609" spans="1:6" ht="20.25">
      <c r="A1609" s="261" t="s">
        <v>614</v>
      </c>
      <c r="B1609" s="220"/>
      <c r="C1609" s="224">
        <v>79</v>
      </c>
      <c r="D1609" s="367">
        <f>D1610</f>
        <v>967</v>
      </c>
      <c r="E1609" s="414">
        <f>E1610</f>
        <v>0</v>
      </c>
      <c r="F1609" s="167">
        <f t="shared" si="76"/>
        <v>967</v>
      </c>
    </row>
    <row r="1610" spans="1:6" ht="20.25">
      <c r="A1610" s="206" t="s">
        <v>1020</v>
      </c>
      <c r="B1610" s="220"/>
      <c r="C1610" s="224">
        <v>81</v>
      </c>
      <c r="D1610" s="367">
        <f>D1611+D1612</f>
        <v>967</v>
      </c>
      <c r="E1610" s="414">
        <f>E1611+E1612</f>
        <v>0</v>
      </c>
      <c r="F1610" s="167">
        <f t="shared" si="76"/>
        <v>967</v>
      </c>
    </row>
    <row r="1611" spans="1:6" ht="20.25">
      <c r="A1611" s="206" t="s">
        <v>629</v>
      </c>
      <c r="B1611" s="220"/>
      <c r="C1611" s="224" t="s">
        <v>602</v>
      </c>
      <c r="D1611" s="248">
        <f>677+290</f>
        <v>967</v>
      </c>
      <c r="E1611" s="214"/>
      <c r="F1611" s="167">
        <f t="shared" si="76"/>
        <v>967</v>
      </c>
    </row>
    <row r="1612" spans="1:6" ht="20.25" hidden="1">
      <c r="A1612" s="206"/>
      <c r="B1612" s="463"/>
      <c r="C1612" s="224"/>
      <c r="D1612" s="367"/>
      <c r="E1612" s="414"/>
      <c r="F1612" s="167">
        <f t="shared" si="76"/>
        <v>0</v>
      </c>
    </row>
    <row r="1613" spans="1:6" ht="20.25" hidden="1">
      <c r="A1613" s="242"/>
      <c r="B1613" s="243" t="s">
        <v>313</v>
      </c>
      <c r="C1613" s="224">
        <v>85</v>
      </c>
      <c r="D1613" s="248"/>
      <c r="E1613" s="214"/>
      <c r="F1613" s="167">
        <f t="shared" si="76"/>
        <v>0</v>
      </c>
    </row>
    <row r="1614" spans="1:6" ht="20.25" hidden="1">
      <c r="A1614" s="242"/>
      <c r="B1614" s="220" t="s">
        <v>311</v>
      </c>
      <c r="C1614" s="224" t="s">
        <v>312</v>
      </c>
      <c r="D1614" s="248"/>
      <c r="E1614" s="214"/>
      <c r="F1614" s="167">
        <f t="shared" si="76"/>
        <v>0</v>
      </c>
    </row>
    <row r="1615" spans="1:6" ht="20.25">
      <c r="A1615" s="244" t="s">
        <v>186</v>
      </c>
      <c r="B1615" s="396"/>
      <c r="C1615" s="224" t="s">
        <v>187</v>
      </c>
      <c r="D1615" s="367">
        <f>D1616+D1617+D1618</f>
        <v>44210.83</v>
      </c>
      <c r="E1615" s="414">
        <f>E1616+E1617+E1618</f>
        <v>0</v>
      </c>
      <c r="F1615" s="167">
        <f t="shared" si="76"/>
        <v>44210.83</v>
      </c>
    </row>
    <row r="1616" spans="1:6" ht="20.25" hidden="1">
      <c r="A1616" s="244"/>
      <c r="B1616" s="220" t="s">
        <v>450</v>
      </c>
      <c r="C1616" s="241" t="s">
        <v>451</v>
      </c>
      <c r="D1616" s="367"/>
      <c r="E1616" s="414"/>
      <c r="F1616" s="167">
        <f t="shared" si="76"/>
        <v>0</v>
      </c>
    </row>
    <row r="1617" spans="1:6" ht="20.25">
      <c r="A1617" s="244"/>
      <c r="B1617" s="220" t="s">
        <v>605</v>
      </c>
      <c r="C1617" s="241" t="s">
        <v>606</v>
      </c>
      <c r="D1617" s="367">
        <f>5944.83+270-100+3050+5405+1</f>
        <v>14570.83</v>
      </c>
      <c r="E1617" s="414"/>
      <c r="F1617" s="167">
        <f t="shared" ref="F1617:F1648" si="77">D1617+E1617</f>
        <v>14570.83</v>
      </c>
    </row>
    <row r="1618" spans="1:6" ht="20.25">
      <c r="A1618" s="244"/>
      <c r="B1618" s="475" t="s">
        <v>607</v>
      </c>
      <c r="C1618" s="241" t="s">
        <v>608</v>
      </c>
      <c r="D1618" s="367">
        <f>14274+677+1000+7000+6690-1</f>
        <v>29640</v>
      </c>
      <c r="E1618" s="414"/>
      <c r="F1618" s="167">
        <f t="shared" si="77"/>
        <v>29640</v>
      </c>
    </row>
    <row r="1619" spans="1:6" ht="20.25" hidden="1">
      <c r="A1619" s="244" t="s">
        <v>452</v>
      </c>
      <c r="B1619" s="475"/>
      <c r="C1619" s="224" t="s">
        <v>453</v>
      </c>
      <c r="D1619" s="248"/>
      <c r="E1619" s="214"/>
      <c r="F1619" s="167">
        <f t="shared" si="77"/>
        <v>0</v>
      </c>
    </row>
    <row r="1620" spans="1:6" ht="20.25" hidden="1">
      <c r="A1620" s="244"/>
      <c r="B1620" s="475" t="s">
        <v>454</v>
      </c>
      <c r="C1620" s="224" t="s">
        <v>455</v>
      </c>
      <c r="D1620" s="248"/>
      <c r="E1620" s="214"/>
      <c r="F1620" s="167">
        <f t="shared" si="77"/>
        <v>0</v>
      </c>
    </row>
    <row r="1621" spans="1:6" ht="20.25">
      <c r="A1621" s="244" t="s">
        <v>609</v>
      </c>
      <c r="B1621" s="474"/>
      <c r="C1621" s="224" t="s">
        <v>610</v>
      </c>
      <c r="D1621" s="367">
        <v>28</v>
      </c>
      <c r="E1621" s="414"/>
      <c r="F1621" s="167">
        <f t="shared" si="77"/>
        <v>28</v>
      </c>
    </row>
    <row r="1622" spans="1:6" ht="20.25" hidden="1">
      <c r="A1622" s="272"/>
      <c r="B1622" s="470" t="s">
        <v>470</v>
      </c>
      <c r="C1622" s="202" t="s">
        <v>457</v>
      </c>
      <c r="D1622" s="248"/>
      <c r="E1622" s="214"/>
      <c r="F1622" s="167">
        <f t="shared" si="77"/>
        <v>0</v>
      </c>
    </row>
    <row r="1623" spans="1:6" ht="20.25" hidden="1">
      <c r="A1623" s="247" t="s">
        <v>114</v>
      </c>
      <c r="B1623" s="474"/>
      <c r="C1623" s="235" t="s">
        <v>49</v>
      </c>
      <c r="D1623" s="248"/>
      <c r="E1623" s="214"/>
      <c r="F1623" s="167">
        <f t="shared" si="77"/>
        <v>0</v>
      </c>
    </row>
    <row r="1624" spans="1:6" ht="20.25" hidden="1">
      <c r="A1624" s="204" t="s">
        <v>561</v>
      </c>
      <c r="B1624" s="474"/>
      <c r="C1624" s="235">
        <v>10</v>
      </c>
      <c r="D1624" s="248"/>
      <c r="E1624" s="214"/>
      <c r="F1624" s="167">
        <f t="shared" si="77"/>
        <v>0</v>
      </c>
    </row>
    <row r="1625" spans="1:6" ht="20.25" hidden="1">
      <c r="A1625" s="206" t="s">
        <v>562</v>
      </c>
      <c r="B1625" s="474"/>
      <c r="C1625" s="224">
        <v>20</v>
      </c>
      <c r="D1625" s="248"/>
      <c r="E1625" s="214"/>
      <c r="F1625" s="167">
        <f t="shared" si="77"/>
        <v>0</v>
      </c>
    </row>
    <row r="1626" spans="1:6" ht="20.25" hidden="1">
      <c r="A1626" s="282"/>
      <c r="B1626" s="474"/>
      <c r="C1626" s="235" t="s">
        <v>592</v>
      </c>
      <c r="D1626" s="248"/>
      <c r="E1626" s="214"/>
      <c r="F1626" s="167">
        <f t="shared" si="77"/>
        <v>0</v>
      </c>
    </row>
    <row r="1627" spans="1:6" ht="20.25" hidden="1">
      <c r="A1627" s="219" t="s">
        <v>55</v>
      </c>
      <c r="B1627" s="474"/>
      <c r="C1627" s="235" t="s">
        <v>592</v>
      </c>
      <c r="D1627" s="248"/>
      <c r="E1627" s="214"/>
      <c r="F1627" s="167">
        <f t="shared" si="77"/>
        <v>0</v>
      </c>
    </row>
    <row r="1628" spans="1:6" ht="20.25" hidden="1">
      <c r="A1628" s="215"/>
      <c r="B1628" s="222" t="s">
        <v>100</v>
      </c>
      <c r="C1628" s="235" t="s">
        <v>58</v>
      </c>
      <c r="D1628" s="248"/>
      <c r="E1628" s="214"/>
      <c r="F1628" s="167">
        <f t="shared" si="77"/>
        <v>0</v>
      </c>
    </row>
    <row r="1629" spans="1:6" ht="20.25" hidden="1">
      <c r="A1629" s="219"/>
      <c r="B1629" s="474"/>
      <c r="C1629" s="235" t="s">
        <v>159</v>
      </c>
      <c r="D1629" s="248"/>
      <c r="E1629" s="214"/>
      <c r="F1629" s="167">
        <f t="shared" si="77"/>
        <v>0</v>
      </c>
    </row>
    <row r="1630" spans="1:6" ht="20.25" hidden="1">
      <c r="A1630" s="219" t="s">
        <v>160</v>
      </c>
      <c r="B1630" s="474"/>
      <c r="C1630" s="235" t="s">
        <v>67</v>
      </c>
      <c r="D1630" s="248"/>
      <c r="E1630" s="214"/>
      <c r="F1630" s="167">
        <f t="shared" si="77"/>
        <v>0</v>
      </c>
    </row>
    <row r="1631" spans="1:6" ht="20.25" hidden="1">
      <c r="A1631" s="215"/>
      <c r="B1631" s="220" t="s">
        <v>458</v>
      </c>
      <c r="C1631" s="224" t="s">
        <v>262</v>
      </c>
      <c r="D1631" s="248"/>
      <c r="E1631" s="214"/>
      <c r="F1631" s="167">
        <f t="shared" si="77"/>
        <v>0</v>
      </c>
    </row>
    <row r="1632" spans="1:6" ht="20.25" hidden="1">
      <c r="A1632" s="215"/>
      <c r="B1632" s="222" t="s">
        <v>624</v>
      </c>
      <c r="C1632" s="235" t="s">
        <v>625</v>
      </c>
      <c r="D1632" s="248"/>
      <c r="E1632" s="214"/>
      <c r="F1632" s="167">
        <f t="shared" si="77"/>
        <v>0</v>
      </c>
    </row>
    <row r="1633" spans="1:6" ht="20.25" hidden="1">
      <c r="A1633" s="215"/>
      <c r="B1633" s="220"/>
      <c r="C1633" s="235">
        <v>59</v>
      </c>
      <c r="D1633" s="248"/>
      <c r="E1633" s="214"/>
      <c r="F1633" s="167">
        <f t="shared" si="77"/>
        <v>0</v>
      </c>
    </row>
    <row r="1634" spans="1:6" ht="20.25" hidden="1">
      <c r="A1634" s="206" t="s">
        <v>459</v>
      </c>
      <c r="B1634" s="208"/>
      <c r="C1634" s="224" t="s">
        <v>108</v>
      </c>
      <c r="D1634" s="248"/>
      <c r="E1634" s="214"/>
      <c r="F1634" s="167">
        <f t="shared" si="77"/>
        <v>0</v>
      </c>
    </row>
    <row r="1635" spans="1:6" ht="20.25" hidden="1">
      <c r="A1635" s="231"/>
      <c r="B1635" s="474"/>
      <c r="C1635" s="224">
        <v>70</v>
      </c>
      <c r="D1635" s="248"/>
      <c r="E1635" s="214"/>
      <c r="F1635" s="167">
        <f t="shared" si="77"/>
        <v>0</v>
      </c>
    </row>
    <row r="1636" spans="1:6" ht="20.25" hidden="1">
      <c r="A1636" s="238"/>
      <c r="B1636" s="474"/>
      <c r="C1636" s="224">
        <v>71</v>
      </c>
      <c r="D1636" s="248"/>
      <c r="E1636" s="214"/>
      <c r="F1636" s="167">
        <f t="shared" si="77"/>
        <v>0</v>
      </c>
    </row>
    <row r="1637" spans="1:6" ht="20.25" hidden="1">
      <c r="A1637" s="219" t="s">
        <v>127</v>
      </c>
      <c r="B1637" s="474"/>
      <c r="C1637" s="224" t="s">
        <v>80</v>
      </c>
      <c r="D1637" s="248"/>
      <c r="E1637" s="214"/>
      <c r="F1637" s="167">
        <f t="shared" si="77"/>
        <v>0</v>
      </c>
    </row>
    <row r="1638" spans="1:6" ht="20.25" hidden="1">
      <c r="A1638" s="219"/>
      <c r="B1638" s="218" t="s">
        <v>81</v>
      </c>
      <c r="C1638" s="241" t="s">
        <v>82</v>
      </c>
      <c r="D1638" s="248"/>
      <c r="E1638" s="214"/>
      <c r="F1638" s="167">
        <f t="shared" si="77"/>
        <v>0</v>
      </c>
    </row>
    <row r="1639" spans="1:6" ht="20.25" hidden="1">
      <c r="A1639" s="219"/>
      <c r="B1639" s="220" t="s">
        <v>83</v>
      </c>
      <c r="C1639" s="241" t="s">
        <v>84</v>
      </c>
      <c r="D1639" s="248"/>
      <c r="E1639" s="214"/>
      <c r="F1639" s="167">
        <f t="shared" si="77"/>
        <v>0</v>
      </c>
    </row>
    <row r="1640" spans="1:6" ht="20.25" hidden="1">
      <c r="A1640" s="219"/>
      <c r="B1640" s="220" t="s">
        <v>94</v>
      </c>
      <c r="C1640" s="241" t="s">
        <v>86</v>
      </c>
      <c r="D1640" s="248"/>
      <c r="E1640" s="214"/>
      <c r="F1640" s="167">
        <f t="shared" si="77"/>
        <v>0</v>
      </c>
    </row>
    <row r="1641" spans="1:6" ht="20.25" hidden="1">
      <c r="A1641" s="219"/>
      <c r="B1641" s="220" t="s">
        <v>87</v>
      </c>
      <c r="C1641" s="241" t="s">
        <v>88</v>
      </c>
      <c r="D1641" s="248"/>
      <c r="E1641" s="214"/>
      <c r="F1641" s="167">
        <f t="shared" si="77"/>
        <v>0</v>
      </c>
    </row>
    <row r="1642" spans="1:6" ht="20.25" hidden="1">
      <c r="A1642" s="526" t="s">
        <v>268</v>
      </c>
      <c r="B1642" s="529"/>
      <c r="C1642" s="241" t="s">
        <v>269</v>
      </c>
      <c r="D1642" s="248"/>
      <c r="E1642" s="214"/>
      <c r="F1642" s="167">
        <f t="shared" si="77"/>
        <v>0</v>
      </c>
    </row>
    <row r="1643" spans="1:6" ht="20.25" hidden="1">
      <c r="A1643" s="215"/>
      <c r="B1643" s="220"/>
      <c r="C1643" s="224">
        <v>79</v>
      </c>
      <c r="D1643" s="248"/>
      <c r="E1643" s="214"/>
      <c r="F1643" s="167">
        <f t="shared" si="77"/>
        <v>0</v>
      </c>
    </row>
    <row r="1644" spans="1:6" ht="20.25" hidden="1">
      <c r="A1644" s="229"/>
      <c r="B1644" s="220"/>
      <c r="C1644" s="224">
        <v>80</v>
      </c>
      <c r="D1644" s="248"/>
      <c r="E1644" s="214"/>
      <c r="F1644" s="167">
        <f t="shared" si="77"/>
        <v>0</v>
      </c>
    </row>
    <row r="1645" spans="1:6" ht="20.25" hidden="1">
      <c r="A1645" s="534" t="s">
        <v>460</v>
      </c>
      <c r="B1645" s="529"/>
      <c r="C1645" s="224" t="s">
        <v>275</v>
      </c>
      <c r="D1645" s="248"/>
      <c r="E1645" s="214"/>
      <c r="F1645" s="167">
        <f t="shared" si="77"/>
        <v>0</v>
      </c>
    </row>
    <row r="1646" spans="1:6" ht="20.25" hidden="1">
      <c r="A1646" s="206" t="s">
        <v>461</v>
      </c>
      <c r="B1646" s="205"/>
      <c r="C1646" s="224" t="s">
        <v>277</v>
      </c>
      <c r="D1646" s="248"/>
      <c r="E1646" s="214"/>
      <c r="F1646" s="167">
        <f t="shared" si="77"/>
        <v>0</v>
      </c>
    </row>
    <row r="1647" spans="1:6" ht="20.25" hidden="1">
      <c r="A1647" s="219"/>
      <c r="B1647" s="220"/>
      <c r="C1647" s="224">
        <v>81</v>
      </c>
      <c r="D1647" s="248"/>
      <c r="E1647" s="214"/>
      <c r="F1647" s="167">
        <f t="shared" si="77"/>
        <v>0</v>
      </c>
    </row>
    <row r="1648" spans="1:6" ht="20.25" hidden="1">
      <c r="A1648" s="206" t="s">
        <v>629</v>
      </c>
      <c r="B1648" s="220"/>
      <c r="C1648" s="224" t="s">
        <v>602</v>
      </c>
      <c r="D1648" s="248"/>
      <c r="E1648" s="214"/>
      <c r="F1648" s="167">
        <f t="shared" si="77"/>
        <v>0</v>
      </c>
    </row>
    <row r="1649" spans="1:6" ht="20.25" hidden="1">
      <c r="A1649" s="242"/>
      <c r="B1649" s="243"/>
      <c r="C1649" s="224"/>
      <c r="D1649" s="248"/>
      <c r="E1649" s="214"/>
      <c r="F1649" s="167">
        <f t="shared" ref="F1649:F1676" si="78">D1649+E1649</f>
        <v>0</v>
      </c>
    </row>
    <row r="1650" spans="1:6" ht="20.25" hidden="1">
      <c r="A1650" s="535" t="s">
        <v>462</v>
      </c>
      <c r="B1650" s="529"/>
      <c r="C1650" s="224" t="s">
        <v>463</v>
      </c>
      <c r="D1650" s="248"/>
      <c r="E1650" s="214"/>
      <c r="F1650" s="167">
        <f t="shared" si="78"/>
        <v>0</v>
      </c>
    </row>
    <row r="1651" spans="1:6" ht="20.25" hidden="1">
      <c r="A1651" s="244" t="s">
        <v>464</v>
      </c>
      <c r="B1651" s="220"/>
      <c r="C1651" s="224" t="s">
        <v>465</v>
      </c>
      <c r="D1651" s="248"/>
      <c r="E1651" s="214"/>
      <c r="F1651" s="167">
        <f t="shared" si="78"/>
        <v>0</v>
      </c>
    </row>
    <row r="1652" spans="1:6" ht="20.25" hidden="1">
      <c r="A1652" s="244" t="s">
        <v>466</v>
      </c>
      <c r="B1652" s="220"/>
      <c r="C1652" s="224" t="s">
        <v>467</v>
      </c>
      <c r="D1652" s="248"/>
      <c r="E1652" s="214"/>
      <c r="F1652" s="167">
        <f t="shared" si="78"/>
        <v>0</v>
      </c>
    </row>
    <row r="1653" spans="1:6" ht="20.25" hidden="1">
      <c r="A1653" s="244" t="s">
        <v>468</v>
      </c>
      <c r="B1653" s="220"/>
      <c r="C1653" s="224" t="s">
        <v>469</v>
      </c>
      <c r="D1653" s="248"/>
      <c r="E1653" s="214"/>
      <c r="F1653" s="167">
        <f t="shared" si="78"/>
        <v>0</v>
      </c>
    </row>
    <row r="1654" spans="1:6" ht="20.25" hidden="1">
      <c r="A1654" s="236" t="s">
        <v>470</v>
      </c>
      <c r="B1654" s="220"/>
      <c r="C1654" s="224" t="s">
        <v>471</v>
      </c>
      <c r="D1654" s="248"/>
      <c r="E1654" s="214"/>
      <c r="F1654" s="167">
        <f t="shared" si="78"/>
        <v>0</v>
      </c>
    </row>
    <row r="1655" spans="1:6" ht="20.25" hidden="1">
      <c r="A1655" s="271"/>
      <c r="B1655" s="474"/>
      <c r="C1655" s="224"/>
      <c r="D1655" s="248"/>
      <c r="E1655" s="214"/>
      <c r="F1655" s="167">
        <f t="shared" si="78"/>
        <v>0</v>
      </c>
    </row>
    <row r="1656" spans="1:6" ht="20.25" hidden="1">
      <c r="A1656" s="285"/>
      <c r="B1656" s="397"/>
      <c r="C1656" s="224" t="s">
        <v>472</v>
      </c>
      <c r="D1656" s="248"/>
      <c r="E1656" s="214"/>
      <c r="F1656" s="167">
        <f t="shared" si="78"/>
        <v>0</v>
      </c>
    </row>
    <row r="1657" spans="1:6" ht="20.25" hidden="1">
      <c r="A1657" s="231"/>
      <c r="B1657" s="474"/>
      <c r="C1657" s="224" t="s">
        <v>473</v>
      </c>
      <c r="D1657" s="248"/>
      <c r="E1657" s="214"/>
      <c r="F1657" s="167">
        <f t="shared" si="78"/>
        <v>0</v>
      </c>
    </row>
    <row r="1658" spans="1:6" ht="20.25" hidden="1">
      <c r="A1658" s="283"/>
      <c r="B1658" s="284" t="s">
        <v>456</v>
      </c>
      <c r="C1658" s="202" t="s">
        <v>303</v>
      </c>
      <c r="D1658" s="248">
        <f>D1675</f>
        <v>0</v>
      </c>
      <c r="E1658" s="214">
        <f>E1675</f>
        <v>0</v>
      </c>
      <c r="F1658" s="167">
        <f t="shared" si="78"/>
        <v>0</v>
      </c>
    </row>
    <row r="1659" spans="1:6" ht="20.25" hidden="1">
      <c r="A1659" s="247" t="s">
        <v>114</v>
      </c>
      <c r="B1659" s="474"/>
      <c r="C1659" s="235" t="s">
        <v>49</v>
      </c>
      <c r="D1659" s="248">
        <f>D1660+D1661+D1662+D1664+D1667</f>
        <v>0</v>
      </c>
      <c r="E1659" s="214">
        <f>E1660+E1661+E1662+E1664+E1667</f>
        <v>0</v>
      </c>
      <c r="F1659" s="167">
        <f t="shared" si="78"/>
        <v>0</v>
      </c>
    </row>
    <row r="1660" spans="1:6" ht="20.25" hidden="1">
      <c r="A1660" s="204" t="s">
        <v>561</v>
      </c>
      <c r="B1660" s="474"/>
      <c r="C1660" s="235">
        <v>10</v>
      </c>
      <c r="D1660" s="248"/>
      <c r="E1660" s="214"/>
      <c r="F1660" s="167">
        <f t="shared" si="78"/>
        <v>0</v>
      </c>
    </row>
    <row r="1661" spans="1:6" ht="20.25" hidden="1">
      <c r="A1661" s="206" t="s">
        <v>562</v>
      </c>
      <c r="B1661" s="474"/>
      <c r="C1661" s="224">
        <v>20</v>
      </c>
      <c r="D1661" s="248">
        <v>0</v>
      </c>
      <c r="E1661" s="214">
        <v>0</v>
      </c>
      <c r="F1661" s="167">
        <f t="shared" si="78"/>
        <v>0</v>
      </c>
    </row>
    <row r="1662" spans="1:6" ht="20.25" hidden="1">
      <c r="A1662" s="219" t="s">
        <v>611</v>
      </c>
      <c r="B1662" s="474"/>
      <c r="C1662" s="235" t="s">
        <v>52</v>
      </c>
      <c r="D1662" s="248"/>
      <c r="E1662" s="214"/>
      <c r="F1662" s="167">
        <f t="shared" si="78"/>
        <v>0</v>
      </c>
    </row>
    <row r="1663" spans="1:6" ht="20.25" hidden="1">
      <c r="A1663" s="219" t="s">
        <v>53</v>
      </c>
      <c r="B1663" s="474"/>
      <c r="C1663" s="235" t="s">
        <v>626</v>
      </c>
      <c r="D1663" s="248"/>
      <c r="E1663" s="214"/>
      <c r="F1663" s="167">
        <f t="shared" si="78"/>
        <v>0</v>
      </c>
    </row>
    <row r="1664" spans="1:6" ht="20.25" hidden="1">
      <c r="A1664" s="282"/>
      <c r="B1664" s="474"/>
      <c r="C1664" s="235" t="s">
        <v>592</v>
      </c>
      <c r="D1664" s="248"/>
      <c r="E1664" s="214"/>
      <c r="F1664" s="167">
        <f t="shared" si="78"/>
        <v>0</v>
      </c>
    </row>
    <row r="1665" spans="1:6" ht="20.25" hidden="1">
      <c r="A1665" s="219" t="s">
        <v>105</v>
      </c>
      <c r="B1665" s="474"/>
      <c r="C1665" s="235" t="s">
        <v>56</v>
      </c>
      <c r="D1665" s="248"/>
      <c r="E1665" s="214"/>
      <c r="F1665" s="167">
        <f t="shared" si="78"/>
        <v>0</v>
      </c>
    </row>
    <row r="1666" spans="1:6" ht="20.25" hidden="1">
      <c r="A1666" s="215"/>
      <c r="B1666" s="222" t="s">
        <v>100</v>
      </c>
      <c r="C1666" s="224" t="s">
        <v>58</v>
      </c>
      <c r="D1666" s="248"/>
      <c r="E1666" s="214"/>
      <c r="F1666" s="167">
        <f t="shared" si="78"/>
        <v>0</v>
      </c>
    </row>
    <row r="1667" spans="1:6" ht="20.25" hidden="1">
      <c r="A1667" s="219" t="s">
        <v>304</v>
      </c>
      <c r="B1667" s="474"/>
      <c r="C1667" s="235">
        <v>55</v>
      </c>
      <c r="D1667" s="248"/>
      <c r="E1667" s="214"/>
      <c r="F1667" s="167">
        <f t="shared" si="78"/>
        <v>0</v>
      </c>
    </row>
    <row r="1668" spans="1:6" ht="20.25" hidden="1">
      <c r="A1668" s="219" t="s">
        <v>66</v>
      </c>
      <c r="B1668" s="474"/>
      <c r="C1668" s="224" t="s">
        <v>67</v>
      </c>
      <c r="D1668" s="248"/>
      <c r="E1668" s="214"/>
      <c r="F1668" s="167">
        <f t="shared" si="78"/>
        <v>0</v>
      </c>
    </row>
    <row r="1669" spans="1:6" ht="20.25" hidden="1">
      <c r="A1669" s="219"/>
      <c r="B1669" s="220" t="s">
        <v>305</v>
      </c>
      <c r="C1669" s="224" t="s">
        <v>625</v>
      </c>
      <c r="D1669" s="248"/>
      <c r="E1669" s="214"/>
      <c r="F1669" s="167">
        <f t="shared" si="78"/>
        <v>0</v>
      </c>
    </row>
    <row r="1670" spans="1:6" ht="20.25" hidden="1">
      <c r="A1670" s="215"/>
      <c r="B1670" s="222" t="s">
        <v>306</v>
      </c>
      <c r="C1670" s="224" t="s">
        <v>307</v>
      </c>
      <c r="D1670" s="248"/>
      <c r="E1670" s="214"/>
      <c r="F1670" s="167">
        <f t="shared" si="78"/>
        <v>0</v>
      </c>
    </row>
    <row r="1671" spans="1:6" ht="20.25" hidden="1">
      <c r="A1671" s="286"/>
      <c r="B1671" s="222"/>
      <c r="C1671" s="224"/>
      <c r="D1671" s="248"/>
      <c r="E1671" s="214"/>
      <c r="F1671" s="167">
        <f t="shared" si="78"/>
        <v>0</v>
      </c>
    </row>
    <row r="1672" spans="1:6" ht="20.25" hidden="1">
      <c r="A1672" s="286"/>
      <c r="B1672" s="222"/>
      <c r="C1672" s="224"/>
      <c r="D1672" s="248"/>
      <c r="E1672" s="214"/>
      <c r="F1672" s="167">
        <f t="shared" si="78"/>
        <v>0</v>
      </c>
    </row>
    <row r="1673" spans="1:6" ht="20.25" hidden="1">
      <c r="A1673" s="287" t="s">
        <v>613</v>
      </c>
      <c r="B1673" s="474"/>
      <c r="C1673" s="224">
        <v>59</v>
      </c>
      <c r="D1673" s="248"/>
      <c r="E1673" s="214"/>
      <c r="F1673" s="167">
        <f t="shared" si="78"/>
        <v>0</v>
      </c>
    </row>
    <row r="1674" spans="1:6" ht="20.25" hidden="1">
      <c r="A1674" s="261"/>
      <c r="B1674" s="474" t="s">
        <v>310</v>
      </c>
      <c r="C1674" s="224">
        <v>5902</v>
      </c>
      <c r="D1674" s="248"/>
      <c r="E1674" s="214"/>
      <c r="F1674" s="167">
        <f t="shared" si="78"/>
        <v>0</v>
      </c>
    </row>
    <row r="1675" spans="1:6" ht="20.25" hidden="1">
      <c r="A1675" s="261"/>
      <c r="B1675" s="474" t="s">
        <v>470</v>
      </c>
      <c r="C1675" s="224" t="s">
        <v>471</v>
      </c>
      <c r="D1675" s="248">
        <v>0</v>
      </c>
      <c r="E1675" s="214">
        <v>0</v>
      </c>
      <c r="F1675" s="167">
        <f t="shared" si="78"/>
        <v>0</v>
      </c>
    </row>
    <row r="1676" spans="1:6" ht="21" thickBot="1">
      <c r="A1676" s="144" t="s">
        <v>904</v>
      </c>
      <c r="B1676" s="379"/>
      <c r="C1676" s="380" t="s">
        <v>474</v>
      </c>
      <c r="D1676" s="491">
        <f>D869-D1014</f>
        <v>-132.00000000005821</v>
      </c>
      <c r="E1676" s="422">
        <f>E869-E1014</f>
        <v>0</v>
      </c>
      <c r="F1676" s="288">
        <f t="shared" si="78"/>
        <v>-132.00000000005821</v>
      </c>
    </row>
    <row r="1677" spans="1:6" ht="21" hidden="1" thickBot="1">
      <c r="A1677" s="149"/>
      <c r="B1677" s="150"/>
      <c r="C1677" s="147"/>
      <c r="D1677" s="151"/>
      <c r="E1677" s="423"/>
      <c r="F1677" s="168"/>
    </row>
    <row r="1678" spans="1:6" ht="21" thickBot="1">
      <c r="A1678" s="149"/>
      <c r="B1678" s="289" t="s">
        <v>926</v>
      </c>
      <c r="C1678" s="147"/>
      <c r="D1678" s="151"/>
      <c r="E1678" s="423"/>
      <c r="F1678" s="307"/>
    </row>
    <row r="1679" spans="1:6" ht="17.25" customHeight="1">
      <c r="A1679" s="198" t="s">
        <v>639</v>
      </c>
      <c r="B1679" s="290"/>
      <c r="C1679" s="199" t="s">
        <v>476</v>
      </c>
      <c r="D1679" s="485">
        <f>D1681+D1766+D1773+D1781+D1827+D1821</f>
        <v>679760.2</v>
      </c>
      <c r="E1679" s="335">
        <f>E1681+E1766+E1773+E1781+E1827+E1821</f>
        <v>67000</v>
      </c>
      <c r="F1679" s="167">
        <f t="shared" ref="F1679:F1710" si="79">D1679+E1679</f>
        <v>746760.2</v>
      </c>
    </row>
    <row r="1680" spans="1:6" ht="20.25">
      <c r="A1680" s="200" t="s">
        <v>640</v>
      </c>
      <c r="B1680" s="201"/>
      <c r="C1680" s="202" t="s">
        <v>927</v>
      </c>
      <c r="D1680" s="350">
        <f>D1681-D1708-D1763+D1766+D1773</f>
        <v>2077</v>
      </c>
      <c r="E1680" s="409">
        <f>E1681-E1708-E1763+E1766+E1773</f>
        <v>0</v>
      </c>
      <c r="F1680" s="167">
        <f t="shared" si="79"/>
        <v>2077</v>
      </c>
    </row>
    <row r="1681" spans="1:6" ht="20.25">
      <c r="A1681" s="200" t="s">
        <v>641</v>
      </c>
      <c r="B1681" s="245"/>
      <c r="C1681" s="203" t="s">
        <v>478</v>
      </c>
      <c r="D1681" s="350">
        <f>D1682+D1730</f>
        <v>83842.2</v>
      </c>
      <c r="E1681" s="409">
        <f>E1682+E1730</f>
        <v>0</v>
      </c>
      <c r="F1681" s="167">
        <f t="shared" si="79"/>
        <v>83842.2</v>
      </c>
    </row>
    <row r="1682" spans="1:6" ht="20.25" hidden="1">
      <c r="A1682" s="204" t="s">
        <v>642</v>
      </c>
      <c r="B1682" s="220"/>
      <c r="C1682" s="291" t="s">
        <v>479</v>
      </c>
      <c r="D1682" s="350">
        <f>D1683+D1696+D1707+D1727</f>
        <v>0</v>
      </c>
      <c r="E1682" s="409">
        <f>E1683+E1696+E1707+E1727</f>
        <v>0</v>
      </c>
      <c r="F1682" s="167">
        <f t="shared" si="79"/>
        <v>0</v>
      </c>
    </row>
    <row r="1683" spans="1:6" ht="20.25" hidden="1">
      <c r="A1683" s="204" t="s">
        <v>643</v>
      </c>
      <c r="B1683" s="220"/>
      <c r="C1683" s="203" t="s">
        <v>480</v>
      </c>
      <c r="D1683" s="350">
        <f>D1684+D1687+D1693</f>
        <v>0</v>
      </c>
      <c r="E1683" s="409">
        <f>E1684+E1687+E1693</f>
        <v>0</v>
      </c>
      <c r="F1683" s="167">
        <f t="shared" si="79"/>
        <v>0</v>
      </c>
    </row>
    <row r="1684" spans="1:6" ht="18" hidden="1" customHeight="1">
      <c r="A1684" s="536"/>
      <c r="B1684" s="529"/>
      <c r="C1684" s="292" t="s">
        <v>481</v>
      </c>
      <c r="D1684" s="367">
        <f>D1685</f>
        <v>0</v>
      </c>
      <c r="E1684" s="414">
        <f>E1685</f>
        <v>0</v>
      </c>
      <c r="F1684" s="167">
        <f t="shared" si="79"/>
        <v>0</v>
      </c>
    </row>
    <row r="1685" spans="1:6" ht="20.25" hidden="1">
      <c r="A1685" s="206" t="s">
        <v>645</v>
      </c>
      <c r="B1685" s="220"/>
      <c r="C1685" s="254" t="s">
        <v>482</v>
      </c>
      <c r="D1685" s="367">
        <f>D1686</f>
        <v>0</v>
      </c>
      <c r="E1685" s="414">
        <f>E1686</f>
        <v>0</v>
      </c>
      <c r="F1685" s="167">
        <f t="shared" si="79"/>
        <v>0</v>
      </c>
    </row>
    <row r="1686" spans="1:6" ht="20.25" hidden="1">
      <c r="A1686" s="221" t="s">
        <v>483</v>
      </c>
      <c r="B1686" s="222"/>
      <c r="C1686" s="254" t="s">
        <v>484</v>
      </c>
      <c r="D1686" s="248"/>
      <c r="E1686" s="214"/>
      <c r="F1686" s="167">
        <f t="shared" si="79"/>
        <v>0</v>
      </c>
    </row>
    <row r="1687" spans="1:6" ht="18" hidden="1" customHeight="1">
      <c r="A1687" s="537"/>
      <c r="B1687" s="529"/>
      <c r="C1687" s="292" t="s">
        <v>485</v>
      </c>
      <c r="D1687" s="367">
        <f>D1688+D1690</f>
        <v>0</v>
      </c>
      <c r="E1687" s="414">
        <f>E1688+E1690</f>
        <v>0</v>
      </c>
      <c r="F1687" s="167">
        <f t="shared" si="79"/>
        <v>0</v>
      </c>
    </row>
    <row r="1688" spans="1:6" ht="20.25" hidden="1">
      <c r="A1688" s="221" t="s">
        <v>646</v>
      </c>
      <c r="B1688" s="222"/>
      <c r="C1688" s="294" t="s">
        <v>647</v>
      </c>
      <c r="D1688" s="367">
        <f>D1689</f>
        <v>0</v>
      </c>
      <c r="E1688" s="414">
        <f>E1689</f>
        <v>0</v>
      </c>
      <c r="F1688" s="167">
        <f t="shared" si="79"/>
        <v>0</v>
      </c>
    </row>
    <row r="1689" spans="1:6" ht="20.25" hidden="1">
      <c r="A1689" s="293" t="s">
        <v>293</v>
      </c>
      <c r="B1689" s="473"/>
      <c r="C1689" s="294" t="s">
        <v>648</v>
      </c>
      <c r="D1689" s="248"/>
      <c r="E1689" s="214"/>
      <c r="F1689" s="167">
        <f t="shared" si="79"/>
        <v>0</v>
      </c>
    </row>
    <row r="1690" spans="1:6" ht="20.25" hidden="1">
      <c r="A1690" s="204" t="s">
        <v>650</v>
      </c>
      <c r="B1690" s="220"/>
      <c r="C1690" s="254" t="s">
        <v>486</v>
      </c>
      <c r="D1690" s="367">
        <f>D1691+D1692</f>
        <v>0</v>
      </c>
      <c r="E1690" s="414">
        <f>E1691+E1692</f>
        <v>0</v>
      </c>
      <c r="F1690" s="167">
        <f t="shared" si="79"/>
        <v>0</v>
      </c>
    </row>
    <row r="1691" spans="1:6" ht="20.25" hidden="1">
      <c r="A1691" s="236" t="s">
        <v>487</v>
      </c>
      <c r="B1691" s="222"/>
      <c r="C1691" s="254" t="s">
        <v>823</v>
      </c>
      <c r="D1691" s="248"/>
      <c r="E1691" s="214"/>
      <c r="F1691" s="167">
        <f t="shared" si="79"/>
        <v>0</v>
      </c>
    </row>
    <row r="1692" spans="1:6" ht="20.25" hidden="1">
      <c r="A1692" s="236" t="s">
        <v>824</v>
      </c>
      <c r="B1692" s="222"/>
      <c r="C1692" s="254" t="s">
        <v>825</v>
      </c>
      <c r="D1692" s="248"/>
      <c r="E1692" s="214"/>
      <c r="F1692" s="167">
        <f t="shared" si="79"/>
        <v>0</v>
      </c>
    </row>
    <row r="1693" spans="1:6" ht="20.25" hidden="1">
      <c r="A1693" s="221"/>
      <c r="B1693" s="220"/>
      <c r="C1693" s="295" t="s">
        <v>488</v>
      </c>
      <c r="D1693" s="248"/>
      <c r="E1693" s="214"/>
      <c r="F1693" s="167">
        <f t="shared" si="79"/>
        <v>0</v>
      </c>
    </row>
    <row r="1694" spans="1:6" ht="20.25" hidden="1">
      <c r="A1694" s="215"/>
      <c r="B1694" s="220"/>
      <c r="C1694" s="254" t="s">
        <v>489</v>
      </c>
      <c r="D1694" s="248"/>
      <c r="E1694" s="214"/>
      <c r="F1694" s="167">
        <f t="shared" si="79"/>
        <v>0</v>
      </c>
    </row>
    <row r="1695" spans="1:6" ht="20.25" hidden="1">
      <c r="A1695" s="236" t="s">
        <v>490</v>
      </c>
      <c r="B1695" s="222"/>
      <c r="C1695" s="254" t="s">
        <v>491</v>
      </c>
      <c r="D1695" s="248"/>
      <c r="E1695" s="214"/>
      <c r="F1695" s="167">
        <f t="shared" si="79"/>
        <v>0</v>
      </c>
    </row>
    <row r="1696" spans="1:6" ht="20.25" hidden="1">
      <c r="A1696" s="204" t="s">
        <v>0</v>
      </c>
      <c r="B1696" s="220"/>
      <c r="C1696" s="211" t="s">
        <v>492</v>
      </c>
      <c r="D1696" s="350">
        <f>D1697</f>
        <v>0</v>
      </c>
      <c r="E1696" s="409">
        <f>E1697</f>
        <v>0</v>
      </c>
      <c r="F1696" s="167">
        <f t="shared" si="79"/>
        <v>0</v>
      </c>
    </row>
    <row r="1697" spans="1:6" ht="20.25" hidden="1">
      <c r="A1697" s="204" t="s">
        <v>1</v>
      </c>
      <c r="B1697" s="220"/>
      <c r="C1697" s="235" t="s">
        <v>493</v>
      </c>
      <c r="D1697" s="367">
        <f>D1698+D1701+D1705+D1706</f>
        <v>0</v>
      </c>
      <c r="E1697" s="414">
        <f>E1698+E1701+E1705+E1706</f>
        <v>0</v>
      </c>
      <c r="F1697" s="167">
        <f t="shared" si="79"/>
        <v>0</v>
      </c>
    </row>
    <row r="1698" spans="1:6" ht="20.25" hidden="1">
      <c r="A1698" s="236" t="s">
        <v>826</v>
      </c>
      <c r="B1698" s="222"/>
      <c r="C1698" s="235" t="s">
        <v>827</v>
      </c>
      <c r="D1698" s="248"/>
      <c r="E1698" s="214"/>
      <c r="F1698" s="167">
        <f t="shared" si="79"/>
        <v>0</v>
      </c>
    </row>
    <row r="1699" spans="1:6" ht="20.25" hidden="1">
      <c r="A1699" s="212"/>
      <c r="B1699" s="222" t="s">
        <v>2</v>
      </c>
      <c r="C1699" s="235" t="s">
        <v>828</v>
      </c>
      <c r="D1699" s="248"/>
      <c r="E1699" s="214"/>
      <c r="F1699" s="167">
        <f t="shared" si="79"/>
        <v>0</v>
      </c>
    </row>
    <row r="1700" spans="1:6" ht="20.25" hidden="1">
      <c r="A1700" s="293" t="s">
        <v>188</v>
      </c>
      <c r="B1700" s="220"/>
      <c r="C1700" s="235" t="s">
        <v>829</v>
      </c>
      <c r="D1700" s="248"/>
      <c r="E1700" s="214"/>
      <c r="F1700" s="167">
        <f t="shared" si="79"/>
        <v>0</v>
      </c>
    </row>
    <row r="1701" spans="1:6" ht="20.25" hidden="1">
      <c r="A1701" s="236" t="s">
        <v>3</v>
      </c>
      <c r="B1701" s="222"/>
      <c r="C1701" s="235" t="s">
        <v>830</v>
      </c>
      <c r="D1701" s="248"/>
      <c r="E1701" s="214"/>
      <c r="F1701" s="167">
        <f t="shared" si="79"/>
        <v>0</v>
      </c>
    </row>
    <row r="1702" spans="1:6" ht="20.25" hidden="1">
      <c r="A1702" s="236"/>
      <c r="B1702" s="222" t="s">
        <v>5</v>
      </c>
      <c r="C1702" s="235" t="s">
        <v>831</v>
      </c>
      <c r="D1702" s="248"/>
      <c r="E1702" s="214"/>
      <c r="F1702" s="167">
        <f t="shared" si="79"/>
        <v>0</v>
      </c>
    </row>
    <row r="1703" spans="1:6" ht="20.25" hidden="1">
      <c r="A1703" s="236"/>
      <c r="B1703" s="222" t="s">
        <v>189</v>
      </c>
      <c r="C1703" s="235" t="s">
        <v>832</v>
      </c>
      <c r="D1703" s="248"/>
      <c r="E1703" s="214"/>
      <c r="F1703" s="167">
        <f t="shared" si="79"/>
        <v>0</v>
      </c>
    </row>
    <row r="1704" spans="1:6" ht="20.25" hidden="1">
      <c r="A1704" s="236"/>
      <c r="B1704" s="222" t="s">
        <v>833</v>
      </c>
      <c r="C1704" s="235" t="s">
        <v>834</v>
      </c>
      <c r="D1704" s="248"/>
      <c r="E1704" s="214"/>
      <c r="F1704" s="167">
        <f t="shared" si="79"/>
        <v>0</v>
      </c>
    </row>
    <row r="1705" spans="1:6" ht="20.25" hidden="1">
      <c r="A1705" s="236" t="s">
        <v>835</v>
      </c>
      <c r="B1705" s="222"/>
      <c r="C1705" s="235" t="s">
        <v>836</v>
      </c>
      <c r="D1705" s="248"/>
      <c r="E1705" s="214"/>
      <c r="F1705" s="167">
        <f t="shared" si="79"/>
        <v>0</v>
      </c>
    </row>
    <row r="1706" spans="1:6" ht="20.25" hidden="1">
      <c r="A1706" s="221" t="s">
        <v>6</v>
      </c>
      <c r="B1706" s="222"/>
      <c r="C1706" s="235" t="s">
        <v>494</v>
      </c>
      <c r="D1706" s="248"/>
      <c r="E1706" s="214"/>
      <c r="F1706" s="167">
        <f t="shared" si="79"/>
        <v>0</v>
      </c>
    </row>
    <row r="1707" spans="1:6" ht="20.25" hidden="1">
      <c r="A1707" s="204" t="s">
        <v>7</v>
      </c>
      <c r="B1707" s="220"/>
      <c r="C1707" s="211" t="s">
        <v>495</v>
      </c>
      <c r="D1707" s="350">
        <f>D1708+D1716+D1718+D1721</f>
        <v>0</v>
      </c>
      <c r="E1707" s="409">
        <f>E1708+E1716+E1718+E1721</f>
        <v>0</v>
      </c>
      <c r="F1707" s="167">
        <f t="shared" si="79"/>
        <v>0</v>
      </c>
    </row>
    <row r="1708" spans="1:6" ht="20.25" hidden="1">
      <c r="A1708" s="212" t="s">
        <v>8</v>
      </c>
      <c r="B1708" s="220"/>
      <c r="C1708" s="203" t="s">
        <v>496</v>
      </c>
      <c r="D1708" s="350">
        <f>SUM(D1709:D1715)</f>
        <v>0</v>
      </c>
      <c r="E1708" s="409">
        <f>SUM(E1709:E1715)</f>
        <v>0</v>
      </c>
      <c r="F1708" s="167">
        <f t="shared" si="79"/>
        <v>0</v>
      </c>
    </row>
    <row r="1709" spans="1:6" ht="18" hidden="1" customHeight="1">
      <c r="A1709" s="540" t="s">
        <v>190</v>
      </c>
      <c r="B1709" s="529"/>
      <c r="C1709" s="235" t="s">
        <v>191</v>
      </c>
      <c r="D1709" s="248"/>
      <c r="E1709" s="214"/>
      <c r="F1709" s="167">
        <f t="shared" si="79"/>
        <v>0</v>
      </c>
    </row>
    <row r="1710" spans="1:6" ht="18" hidden="1" customHeight="1">
      <c r="A1710" s="540" t="s">
        <v>9</v>
      </c>
      <c r="B1710" s="529"/>
      <c r="C1710" s="235" t="s">
        <v>497</v>
      </c>
      <c r="D1710" s="367"/>
      <c r="E1710" s="414"/>
      <c r="F1710" s="167">
        <f t="shared" si="79"/>
        <v>0</v>
      </c>
    </row>
    <row r="1711" spans="1:6" ht="18" hidden="1" customHeight="1">
      <c r="A1711" s="540" t="s">
        <v>10</v>
      </c>
      <c r="B1711" s="529"/>
      <c r="C1711" s="224" t="s">
        <v>498</v>
      </c>
      <c r="D1711" s="248"/>
      <c r="E1711" s="214"/>
      <c r="F1711" s="167">
        <f t="shared" ref="F1711:F1742" si="80">D1711+E1711</f>
        <v>0</v>
      </c>
    </row>
    <row r="1712" spans="1:6" ht="18" hidden="1" customHeight="1">
      <c r="A1712" s="540" t="s">
        <v>192</v>
      </c>
      <c r="B1712" s="529"/>
      <c r="C1712" s="235" t="s">
        <v>193</v>
      </c>
      <c r="D1712" s="248"/>
      <c r="E1712" s="214"/>
      <c r="F1712" s="167">
        <f t="shared" si="80"/>
        <v>0</v>
      </c>
    </row>
    <row r="1713" spans="1:6" ht="20.25" hidden="1">
      <c r="A1713" s="215" t="s">
        <v>194</v>
      </c>
      <c r="B1713" s="222"/>
      <c r="C1713" s="235" t="s">
        <v>195</v>
      </c>
      <c r="D1713" s="248"/>
      <c r="E1713" s="214"/>
      <c r="F1713" s="167">
        <f t="shared" si="80"/>
        <v>0</v>
      </c>
    </row>
    <row r="1714" spans="1:6" ht="18" hidden="1" customHeight="1">
      <c r="A1714" s="551" t="s">
        <v>11</v>
      </c>
      <c r="B1714" s="529"/>
      <c r="C1714" s="235" t="s">
        <v>499</v>
      </c>
      <c r="D1714" s="248"/>
      <c r="E1714" s="214"/>
      <c r="F1714" s="167">
        <f t="shared" si="80"/>
        <v>0</v>
      </c>
    </row>
    <row r="1715" spans="1:6" ht="18" hidden="1" customHeight="1">
      <c r="A1715" s="540" t="s">
        <v>928</v>
      </c>
      <c r="B1715" s="529"/>
      <c r="C1715" s="235" t="s">
        <v>929</v>
      </c>
      <c r="D1715" s="248"/>
      <c r="E1715" s="214"/>
      <c r="F1715" s="167">
        <f t="shared" si="80"/>
        <v>0</v>
      </c>
    </row>
    <row r="1716" spans="1:6" ht="20.25" hidden="1">
      <c r="A1716" s="206" t="s">
        <v>12</v>
      </c>
      <c r="B1716" s="296"/>
      <c r="C1716" s="207" t="s">
        <v>500</v>
      </c>
      <c r="D1716" s="350">
        <f>D1717</f>
        <v>0</v>
      </c>
      <c r="E1716" s="409">
        <f>E1717</f>
        <v>0</v>
      </c>
      <c r="F1716" s="167">
        <f t="shared" si="80"/>
        <v>0</v>
      </c>
    </row>
    <row r="1717" spans="1:6" ht="20.25" hidden="1">
      <c r="A1717" s="221" t="s">
        <v>501</v>
      </c>
      <c r="B1717" s="222"/>
      <c r="C1717" s="297" t="s">
        <v>502</v>
      </c>
      <c r="D1717" s="248"/>
      <c r="E1717" s="214"/>
      <c r="F1717" s="167">
        <f t="shared" si="80"/>
        <v>0</v>
      </c>
    </row>
    <row r="1718" spans="1:6" ht="20.25" hidden="1">
      <c r="A1718" s="212" t="s">
        <v>13</v>
      </c>
      <c r="B1718" s="220"/>
      <c r="C1718" s="207" t="s">
        <v>503</v>
      </c>
      <c r="D1718" s="350">
        <f>D1719+D1720</f>
        <v>0</v>
      </c>
      <c r="E1718" s="409">
        <f>E1719+E1720</f>
        <v>0</v>
      </c>
      <c r="F1718" s="167">
        <f t="shared" si="80"/>
        <v>0</v>
      </c>
    </row>
    <row r="1719" spans="1:6" ht="20.25" hidden="1">
      <c r="A1719" s="236" t="s">
        <v>14</v>
      </c>
      <c r="B1719" s="222"/>
      <c r="C1719" s="254" t="s">
        <v>504</v>
      </c>
      <c r="D1719" s="248"/>
      <c r="E1719" s="214"/>
      <c r="F1719" s="167">
        <f t="shared" si="80"/>
        <v>0</v>
      </c>
    </row>
    <row r="1720" spans="1:6" ht="20.25" hidden="1">
      <c r="A1720" s="298" t="s">
        <v>838</v>
      </c>
      <c r="B1720" s="222"/>
      <c r="C1720" s="254" t="s">
        <v>15</v>
      </c>
      <c r="D1720" s="248"/>
      <c r="E1720" s="214"/>
      <c r="F1720" s="167">
        <f t="shared" si="80"/>
        <v>0</v>
      </c>
    </row>
    <row r="1721" spans="1:6" ht="18" hidden="1" customHeight="1">
      <c r="A1721" s="524"/>
      <c r="B1721" s="529"/>
      <c r="C1721" s="207" t="s">
        <v>505</v>
      </c>
      <c r="D1721" s="350">
        <f>D1722+D1725+D1726</f>
        <v>0</v>
      </c>
      <c r="E1721" s="409">
        <f>E1722+E1725+E1726</f>
        <v>0</v>
      </c>
      <c r="F1721" s="167">
        <f t="shared" si="80"/>
        <v>0</v>
      </c>
    </row>
    <row r="1722" spans="1:6" ht="20.25" hidden="1">
      <c r="A1722" s="236" t="s">
        <v>839</v>
      </c>
      <c r="B1722" s="222"/>
      <c r="C1722" s="254" t="s">
        <v>840</v>
      </c>
      <c r="D1722" s="248"/>
      <c r="E1722" s="214"/>
      <c r="F1722" s="167">
        <f t="shared" si="80"/>
        <v>0</v>
      </c>
    </row>
    <row r="1723" spans="1:6" ht="18" hidden="1" customHeight="1">
      <c r="A1723" s="236"/>
      <c r="B1723" s="222" t="s">
        <v>841</v>
      </c>
      <c r="C1723" s="299" t="s">
        <v>842</v>
      </c>
      <c r="D1723" s="248"/>
      <c r="E1723" s="214"/>
      <c r="F1723" s="167">
        <f t="shared" si="80"/>
        <v>0</v>
      </c>
    </row>
    <row r="1724" spans="1:6" ht="18" hidden="1" customHeight="1">
      <c r="A1724" s="236"/>
      <c r="B1724" s="222" t="s">
        <v>843</v>
      </c>
      <c r="C1724" s="254" t="s">
        <v>844</v>
      </c>
      <c r="D1724" s="248"/>
      <c r="E1724" s="214"/>
      <c r="F1724" s="167">
        <f t="shared" si="80"/>
        <v>0</v>
      </c>
    </row>
    <row r="1725" spans="1:6" ht="20.25" hidden="1">
      <c r="A1725" s="236" t="s">
        <v>506</v>
      </c>
      <c r="B1725" s="222"/>
      <c r="C1725" s="254" t="s">
        <v>845</v>
      </c>
      <c r="D1725" s="248"/>
      <c r="E1725" s="214"/>
      <c r="F1725" s="167">
        <f t="shared" si="80"/>
        <v>0</v>
      </c>
    </row>
    <row r="1726" spans="1:6" ht="18" hidden="1" customHeight="1">
      <c r="A1726" s="530" t="s">
        <v>17</v>
      </c>
      <c r="B1726" s="529"/>
      <c r="C1726" s="254" t="s">
        <v>846</v>
      </c>
      <c r="D1726" s="248"/>
      <c r="E1726" s="214"/>
      <c r="F1726" s="167">
        <f t="shared" si="80"/>
        <v>0</v>
      </c>
    </row>
    <row r="1727" spans="1:6" ht="20.25" hidden="1">
      <c r="A1727" s="212" t="s">
        <v>18</v>
      </c>
      <c r="B1727" s="220"/>
      <c r="C1727" s="211" t="s">
        <v>507</v>
      </c>
      <c r="D1727" s="350">
        <f>D1728</f>
        <v>0</v>
      </c>
      <c r="E1727" s="409">
        <f>E1728</f>
        <v>0</v>
      </c>
      <c r="F1727" s="167">
        <f t="shared" si="80"/>
        <v>0</v>
      </c>
    </row>
    <row r="1728" spans="1:6" ht="20.25" hidden="1">
      <c r="A1728" s="212" t="s">
        <v>19</v>
      </c>
      <c r="B1728" s="220"/>
      <c r="C1728" s="254" t="s">
        <v>508</v>
      </c>
      <c r="D1728" s="367">
        <f>D1729</f>
        <v>0</v>
      </c>
      <c r="E1728" s="414">
        <f>E1729</f>
        <v>0</v>
      </c>
      <c r="F1728" s="167">
        <f t="shared" si="80"/>
        <v>0</v>
      </c>
    </row>
    <row r="1729" spans="1:6" ht="20.25" hidden="1">
      <c r="A1729" s="298" t="s">
        <v>509</v>
      </c>
      <c r="B1729" s="222"/>
      <c r="C1729" s="254" t="s">
        <v>510</v>
      </c>
      <c r="D1729" s="248"/>
      <c r="E1729" s="214"/>
      <c r="F1729" s="167">
        <f t="shared" si="80"/>
        <v>0</v>
      </c>
    </row>
    <row r="1730" spans="1:6" ht="20.25">
      <c r="A1730" s="204" t="s">
        <v>20</v>
      </c>
      <c r="B1730" s="220"/>
      <c r="C1730" s="211" t="s">
        <v>511</v>
      </c>
      <c r="D1730" s="350">
        <f>D1731+D1740</f>
        <v>83842.2</v>
      </c>
      <c r="E1730" s="409">
        <f>E1731+E1740</f>
        <v>0</v>
      </c>
      <c r="F1730" s="167">
        <f t="shared" si="80"/>
        <v>83842.2</v>
      </c>
    </row>
    <row r="1731" spans="1:6" ht="20.25" hidden="1">
      <c r="A1731" s="206" t="s">
        <v>21</v>
      </c>
      <c r="B1731" s="220"/>
      <c r="C1731" s="211" t="s">
        <v>512</v>
      </c>
      <c r="D1731" s="350">
        <f>D1732</f>
        <v>0</v>
      </c>
      <c r="E1731" s="409">
        <f>E1732</f>
        <v>0</v>
      </c>
      <c r="F1731" s="167">
        <f t="shared" si="80"/>
        <v>0</v>
      </c>
    </row>
    <row r="1732" spans="1:6" ht="20.25" hidden="1">
      <c r="A1732" s="206" t="s">
        <v>22</v>
      </c>
      <c r="B1732" s="220"/>
      <c r="C1732" s="254" t="s">
        <v>513</v>
      </c>
      <c r="D1732" s="248">
        <f>D1733+D1734+D1735+D1736</f>
        <v>0</v>
      </c>
      <c r="E1732" s="214">
        <f>E1733+E1734+E1735+E1736</f>
        <v>0</v>
      </c>
      <c r="F1732" s="167">
        <f t="shared" si="80"/>
        <v>0</v>
      </c>
    </row>
    <row r="1733" spans="1:6" ht="18" hidden="1" customHeight="1">
      <c r="A1733" s="547" t="s">
        <v>23</v>
      </c>
      <c r="B1733" s="529"/>
      <c r="C1733" s="254" t="s">
        <v>514</v>
      </c>
      <c r="D1733" s="248"/>
      <c r="E1733" s="214"/>
      <c r="F1733" s="167">
        <f t="shared" si="80"/>
        <v>0</v>
      </c>
    </row>
    <row r="1734" spans="1:6" ht="20.25" hidden="1">
      <c r="A1734" s="236" t="s">
        <v>515</v>
      </c>
      <c r="B1734" s="222"/>
      <c r="C1734" s="254" t="s">
        <v>516</v>
      </c>
      <c r="D1734" s="248"/>
      <c r="E1734" s="214"/>
      <c r="F1734" s="167">
        <f t="shared" si="80"/>
        <v>0</v>
      </c>
    </row>
    <row r="1735" spans="1:6" ht="20.25" hidden="1">
      <c r="A1735" s="236" t="s">
        <v>517</v>
      </c>
      <c r="B1735" s="222"/>
      <c r="C1735" s="254" t="s">
        <v>518</v>
      </c>
      <c r="D1735" s="248"/>
      <c r="E1735" s="214"/>
      <c r="F1735" s="167">
        <f t="shared" si="80"/>
        <v>0</v>
      </c>
    </row>
    <row r="1736" spans="1:6" ht="20.25" hidden="1">
      <c r="A1736" s="236" t="s">
        <v>519</v>
      </c>
      <c r="B1736" s="222"/>
      <c r="C1736" s="254" t="s">
        <v>520</v>
      </c>
      <c r="D1736" s="248"/>
      <c r="E1736" s="214"/>
      <c r="F1736" s="167">
        <f t="shared" si="80"/>
        <v>0</v>
      </c>
    </row>
    <row r="1737" spans="1:6" ht="20.25" hidden="1">
      <c r="A1737" s="236" t="s">
        <v>196</v>
      </c>
      <c r="B1737" s="222"/>
      <c r="C1737" s="254" t="s">
        <v>197</v>
      </c>
      <c r="D1737" s="248"/>
      <c r="E1737" s="214"/>
      <c r="F1737" s="167">
        <f t="shared" si="80"/>
        <v>0</v>
      </c>
    </row>
    <row r="1738" spans="1:6" ht="20.25" hidden="1">
      <c r="A1738" s="215"/>
      <c r="B1738" s="220"/>
      <c r="C1738" s="299" t="s">
        <v>198</v>
      </c>
      <c r="D1738" s="248"/>
      <c r="E1738" s="214"/>
      <c r="F1738" s="167">
        <f t="shared" si="80"/>
        <v>0</v>
      </c>
    </row>
    <row r="1739" spans="1:6" ht="20.25" hidden="1">
      <c r="A1739" s="236" t="s">
        <v>199</v>
      </c>
      <c r="B1739" s="222"/>
      <c r="C1739" s="299" t="s">
        <v>200</v>
      </c>
      <c r="D1739" s="248"/>
      <c r="E1739" s="214"/>
      <c r="F1739" s="167">
        <f t="shared" si="80"/>
        <v>0</v>
      </c>
    </row>
    <row r="1740" spans="1:6" ht="20.25">
      <c r="A1740" s="204" t="s">
        <v>24</v>
      </c>
      <c r="B1740" s="220"/>
      <c r="C1740" s="211" t="s">
        <v>521</v>
      </c>
      <c r="D1740" s="350">
        <f>D1741+D1749+D1752+D1757+D1763</f>
        <v>83842.2</v>
      </c>
      <c r="E1740" s="409">
        <f>E1741+E1749+E1752+E1757+E1763</f>
        <v>0</v>
      </c>
      <c r="F1740" s="167">
        <f t="shared" si="80"/>
        <v>83842.2</v>
      </c>
    </row>
    <row r="1741" spans="1:6" ht="20.25" hidden="1">
      <c r="A1741" s="204" t="s">
        <v>25</v>
      </c>
      <c r="B1741" s="220"/>
      <c r="C1741" s="224" t="s">
        <v>522</v>
      </c>
      <c r="D1741" s="367">
        <f>SUM(D1742:D1748)</f>
        <v>0</v>
      </c>
      <c r="E1741" s="414">
        <f>SUM(E1742:E1748)</f>
        <v>0</v>
      </c>
      <c r="F1741" s="167">
        <f t="shared" si="80"/>
        <v>0</v>
      </c>
    </row>
    <row r="1742" spans="1:6" ht="20.25" hidden="1">
      <c r="A1742" s="236" t="s">
        <v>847</v>
      </c>
      <c r="B1742" s="222"/>
      <c r="C1742" s="224" t="s">
        <v>523</v>
      </c>
      <c r="D1742" s="248"/>
      <c r="E1742" s="214"/>
      <c r="F1742" s="167">
        <f t="shared" si="80"/>
        <v>0</v>
      </c>
    </row>
    <row r="1743" spans="1:6" ht="20.25" hidden="1">
      <c r="A1743" s="236" t="s">
        <v>524</v>
      </c>
      <c r="B1743" s="222"/>
      <c r="C1743" s="224" t="s">
        <v>525</v>
      </c>
      <c r="D1743" s="248"/>
      <c r="E1743" s="214"/>
      <c r="F1743" s="167">
        <f t="shared" ref="F1743:F1774" si="81">D1743+E1743</f>
        <v>0</v>
      </c>
    </row>
    <row r="1744" spans="1:6" ht="20.25" hidden="1">
      <c r="A1744" s="236" t="s">
        <v>526</v>
      </c>
      <c r="B1744" s="222"/>
      <c r="C1744" s="224" t="s">
        <v>527</v>
      </c>
      <c r="D1744" s="248"/>
      <c r="E1744" s="214"/>
      <c r="F1744" s="167">
        <f t="shared" si="81"/>
        <v>0</v>
      </c>
    </row>
    <row r="1745" spans="1:6" ht="20.25" hidden="1">
      <c r="A1745" s="236" t="s">
        <v>201</v>
      </c>
      <c r="B1745" s="222"/>
      <c r="C1745" s="224" t="s">
        <v>202</v>
      </c>
      <c r="D1745" s="248"/>
      <c r="E1745" s="214"/>
      <c r="F1745" s="167">
        <f t="shared" si="81"/>
        <v>0</v>
      </c>
    </row>
    <row r="1746" spans="1:6" ht="20.25" hidden="1">
      <c r="A1746" s="236" t="s">
        <v>528</v>
      </c>
      <c r="B1746" s="222"/>
      <c r="C1746" s="224" t="s">
        <v>529</v>
      </c>
      <c r="D1746" s="248"/>
      <c r="E1746" s="214"/>
      <c r="F1746" s="167">
        <f t="shared" si="81"/>
        <v>0</v>
      </c>
    </row>
    <row r="1747" spans="1:6" ht="20.25" hidden="1">
      <c r="A1747" s="236" t="s">
        <v>530</v>
      </c>
      <c r="B1747" s="222"/>
      <c r="C1747" s="224" t="s">
        <v>531</v>
      </c>
      <c r="D1747" s="248"/>
      <c r="E1747" s="214"/>
      <c r="F1747" s="167">
        <f t="shared" si="81"/>
        <v>0</v>
      </c>
    </row>
    <row r="1748" spans="1:6" ht="20.25" hidden="1">
      <c r="A1748" s="236" t="s">
        <v>203</v>
      </c>
      <c r="B1748" s="222"/>
      <c r="C1748" s="224" t="s">
        <v>204</v>
      </c>
      <c r="D1748" s="248"/>
      <c r="E1748" s="214"/>
      <c r="F1748" s="167">
        <f t="shared" si="81"/>
        <v>0</v>
      </c>
    </row>
    <row r="1749" spans="1:6" ht="20.25" hidden="1">
      <c r="A1749" s="212" t="s">
        <v>26</v>
      </c>
      <c r="B1749" s="213"/>
      <c r="C1749" s="224" t="s">
        <v>532</v>
      </c>
      <c r="D1749" s="367">
        <f>D1750+D1751</f>
        <v>0</v>
      </c>
      <c r="E1749" s="414">
        <f>E1750+E1751</f>
        <v>0</v>
      </c>
      <c r="F1749" s="167">
        <f t="shared" si="81"/>
        <v>0</v>
      </c>
    </row>
    <row r="1750" spans="1:6" ht="20.25" hidden="1">
      <c r="A1750" s="298" t="s">
        <v>533</v>
      </c>
      <c r="B1750" s="222"/>
      <c r="C1750" s="224" t="s">
        <v>534</v>
      </c>
      <c r="D1750" s="248"/>
      <c r="E1750" s="214"/>
      <c r="F1750" s="167">
        <f t="shared" si="81"/>
        <v>0</v>
      </c>
    </row>
    <row r="1751" spans="1:6" ht="20.25" hidden="1">
      <c r="A1751" s="221" t="s">
        <v>205</v>
      </c>
      <c r="B1751" s="222"/>
      <c r="C1751" s="224" t="s">
        <v>206</v>
      </c>
      <c r="D1751" s="248"/>
      <c r="E1751" s="214"/>
      <c r="F1751" s="167">
        <f t="shared" si="81"/>
        <v>0</v>
      </c>
    </row>
    <row r="1752" spans="1:6" ht="20.25" hidden="1">
      <c r="A1752" s="212" t="s">
        <v>27</v>
      </c>
      <c r="B1752" s="220"/>
      <c r="C1752" s="224" t="s">
        <v>535</v>
      </c>
      <c r="D1752" s="367">
        <f>SUM(D1753:D1756)</f>
        <v>0</v>
      </c>
      <c r="E1752" s="414">
        <f>SUM(E1753:E1756)</f>
        <v>0</v>
      </c>
      <c r="F1752" s="167">
        <f t="shared" si="81"/>
        <v>0</v>
      </c>
    </row>
    <row r="1753" spans="1:6" ht="20.25" hidden="1">
      <c r="A1753" s="236" t="s">
        <v>28</v>
      </c>
      <c r="B1753" s="222"/>
      <c r="C1753" s="224" t="s">
        <v>536</v>
      </c>
      <c r="D1753" s="248"/>
      <c r="E1753" s="214"/>
      <c r="F1753" s="167">
        <f t="shared" si="81"/>
        <v>0</v>
      </c>
    </row>
    <row r="1754" spans="1:6" ht="18" hidden="1" customHeight="1">
      <c r="A1754" s="547" t="s">
        <v>29</v>
      </c>
      <c r="B1754" s="529"/>
      <c r="C1754" s="224" t="s">
        <v>537</v>
      </c>
      <c r="D1754" s="248"/>
      <c r="E1754" s="214"/>
      <c r="F1754" s="167">
        <f t="shared" si="81"/>
        <v>0</v>
      </c>
    </row>
    <row r="1755" spans="1:6" ht="18" hidden="1" customHeight="1">
      <c r="A1755" s="530" t="s">
        <v>207</v>
      </c>
      <c r="B1755" s="529"/>
      <c r="C1755" s="224" t="s">
        <v>208</v>
      </c>
      <c r="D1755" s="248"/>
      <c r="E1755" s="214"/>
      <c r="F1755" s="167">
        <f t="shared" si="81"/>
        <v>0</v>
      </c>
    </row>
    <row r="1756" spans="1:6" ht="20.25" hidden="1">
      <c r="A1756" s="221" t="s">
        <v>209</v>
      </c>
      <c r="B1756" s="222"/>
      <c r="C1756" s="224" t="s">
        <v>848</v>
      </c>
      <c r="D1756" s="248"/>
      <c r="E1756" s="214"/>
      <c r="F1756" s="167">
        <f t="shared" si="81"/>
        <v>0</v>
      </c>
    </row>
    <row r="1757" spans="1:6" ht="20.25">
      <c r="A1757" s="212" t="s">
        <v>636</v>
      </c>
      <c r="B1757" s="220"/>
      <c r="C1757" s="202" t="s">
        <v>538</v>
      </c>
      <c r="D1757" s="350">
        <f>SUM(D1758:D1762)</f>
        <v>566</v>
      </c>
      <c r="E1757" s="409">
        <f>SUM(E1758:E1762)</f>
        <v>0</v>
      </c>
      <c r="F1757" s="167">
        <f t="shared" si="81"/>
        <v>566</v>
      </c>
    </row>
    <row r="1758" spans="1:6" ht="20.25" hidden="1">
      <c r="A1758" s="236" t="s">
        <v>210</v>
      </c>
      <c r="B1758" s="222"/>
      <c r="C1758" s="224" t="s">
        <v>539</v>
      </c>
      <c r="D1758" s="248"/>
      <c r="E1758" s="214"/>
      <c r="F1758" s="167">
        <f t="shared" si="81"/>
        <v>0</v>
      </c>
    </row>
    <row r="1759" spans="1:6" ht="20.25" hidden="1">
      <c r="A1759" s="528" t="s">
        <v>337</v>
      </c>
      <c r="B1759" s="529"/>
      <c r="C1759" s="224" t="s">
        <v>333</v>
      </c>
      <c r="D1759" s="248"/>
      <c r="E1759" s="214"/>
      <c r="F1759" s="167">
        <f t="shared" si="81"/>
        <v>0</v>
      </c>
    </row>
    <row r="1760" spans="1:6" ht="20.25">
      <c r="A1760" s="528" t="s">
        <v>338</v>
      </c>
      <c r="B1760" s="529"/>
      <c r="C1760" s="224" t="s">
        <v>334</v>
      </c>
      <c r="D1760" s="248"/>
      <c r="E1760" s="214"/>
      <c r="F1760" s="167">
        <f t="shared" si="81"/>
        <v>0</v>
      </c>
    </row>
    <row r="1761" spans="1:6" ht="20.25">
      <c r="A1761" s="215" t="s">
        <v>849</v>
      </c>
      <c r="B1761" s="222"/>
      <c r="C1761" s="300" t="s">
        <v>666</v>
      </c>
      <c r="D1761" s="248">
        <v>566</v>
      </c>
      <c r="E1761" s="214"/>
      <c r="F1761" s="167">
        <f t="shared" si="81"/>
        <v>566</v>
      </c>
    </row>
    <row r="1762" spans="1:6" ht="20.25" hidden="1">
      <c r="A1762" s="236" t="s">
        <v>635</v>
      </c>
      <c r="B1762" s="222"/>
      <c r="C1762" s="224" t="s">
        <v>540</v>
      </c>
      <c r="D1762" s="248"/>
      <c r="E1762" s="214"/>
      <c r="F1762" s="167">
        <f t="shared" si="81"/>
        <v>0</v>
      </c>
    </row>
    <row r="1763" spans="1:6" ht="20.25">
      <c r="A1763" s="212" t="s">
        <v>30</v>
      </c>
      <c r="B1763" s="220"/>
      <c r="C1763" s="202" t="s">
        <v>541</v>
      </c>
      <c r="D1763" s="350">
        <f>D1764+D1765</f>
        <v>83276.2</v>
      </c>
      <c r="E1763" s="409">
        <f>E1764+E1765</f>
        <v>0</v>
      </c>
      <c r="F1763" s="167">
        <f t="shared" si="81"/>
        <v>83276.2</v>
      </c>
    </row>
    <row r="1764" spans="1:6" ht="20.25" hidden="1">
      <c r="A1764" s="236" t="s">
        <v>31</v>
      </c>
      <c r="B1764" s="222"/>
      <c r="C1764" s="224" t="s">
        <v>542</v>
      </c>
      <c r="D1764" s="248"/>
      <c r="E1764" s="214"/>
      <c r="F1764" s="167">
        <f t="shared" si="81"/>
        <v>0</v>
      </c>
    </row>
    <row r="1765" spans="1:6" ht="20.25">
      <c r="A1765" s="221" t="s">
        <v>851</v>
      </c>
      <c r="B1765" s="222"/>
      <c r="C1765" s="224" t="s">
        <v>328</v>
      </c>
      <c r="D1765" s="248">
        <f>198523+500-131545+100+5883.2+9815</f>
        <v>83276.2</v>
      </c>
      <c r="E1765" s="214"/>
      <c r="F1765" s="167">
        <f t="shared" si="81"/>
        <v>83276.2</v>
      </c>
    </row>
    <row r="1766" spans="1:6" ht="20.25">
      <c r="A1766" s="212" t="s">
        <v>33</v>
      </c>
      <c r="B1766" s="205"/>
      <c r="C1766" s="202" t="s">
        <v>543</v>
      </c>
      <c r="D1766" s="350">
        <f>D1767</f>
        <v>1511</v>
      </c>
      <c r="E1766" s="409">
        <f>E1767</f>
        <v>0</v>
      </c>
      <c r="F1766" s="167">
        <f t="shared" si="81"/>
        <v>1511</v>
      </c>
    </row>
    <row r="1767" spans="1:6" ht="20.25">
      <c r="A1767" s="212" t="s">
        <v>34</v>
      </c>
      <c r="B1767" s="220"/>
      <c r="C1767" s="224" t="s">
        <v>544</v>
      </c>
      <c r="D1767" s="367">
        <f>D1768+D1769+D1770+D1771+D1772</f>
        <v>1511</v>
      </c>
      <c r="E1767" s="414">
        <f>E1768+E1769+E1770+E1771+E1772</f>
        <v>0</v>
      </c>
      <c r="F1767" s="167">
        <f t="shared" si="81"/>
        <v>1511</v>
      </c>
    </row>
    <row r="1768" spans="1:6" ht="20.25" hidden="1">
      <c r="A1768" s="221" t="s">
        <v>211</v>
      </c>
      <c r="B1768" s="222"/>
      <c r="C1768" s="224" t="s">
        <v>212</v>
      </c>
      <c r="D1768" s="248"/>
      <c r="E1768" s="214"/>
      <c r="F1768" s="167">
        <f t="shared" si="81"/>
        <v>0</v>
      </c>
    </row>
    <row r="1769" spans="1:6" ht="20.25">
      <c r="A1769" s="221" t="s">
        <v>35</v>
      </c>
      <c r="B1769" s="222"/>
      <c r="C1769" s="224" t="s">
        <v>545</v>
      </c>
      <c r="D1769" s="248">
        <v>501</v>
      </c>
      <c r="E1769" s="214"/>
      <c r="F1769" s="167">
        <f t="shared" si="81"/>
        <v>501</v>
      </c>
    </row>
    <row r="1770" spans="1:6" ht="20.25" hidden="1">
      <c r="A1770" s="221" t="s">
        <v>546</v>
      </c>
      <c r="B1770" s="222"/>
      <c r="C1770" s="224" t="s">
        <v>547</v>
      </c>
      <c r="D1770" s="248"/>
      <c r="E1770" s="214"/>
      <c r="F1770" s="167">
        <f t="shared" si="81"/>
        <v>0</v>
      </c>
    </row>
    <row r="1771" spans="1:6" ht="20.25">
      <c r="A1771" s="221" t="s">
        <v>36</v>
      </c>
      <c r="B1771" s="222"/>
      <c r="C1771" s="224" t="s">
        <v>548</v>
      </c>
      <c r="D1771" s="248">
        <f>242+765</f>
        <v>1007</v>
      </c>
      <c r="E1771" s="214"/>
      <c r="F1771" s="167">
        <f t="shared" si="81"/>
        <v>1007</v>
      </c>
    </row>
    <row r="1772" spans="1:6" ht="20.25">
      <c r="A1772" s="528" t="s">
        <v>339</v>
      </c>
      <c r="B1772" s="529"/>
      <c r="C1772" s="224" t="s">
        <v>336</v>
      </c>
      <c r="D1772" s="248">
        <v>3</v>
      </c>
      <c r="E1772" s="214"/>
      <c r="F1772" s="167">
        <f t="shared" si="81"/>
        <v>3</v>
      </c>
    </row>
    <row r="1773" spans="1:6" ht="20.25" hidden="1">
      <c r="A1773" s="212" t="s">
        <v>37</v>
      </c>
      <c r="B1773" s="205"/>
      <c r="C1773" s="202"/>
      <c r="D1773" s="248"/>
      <c r="E1773" s="214"/>
      <c r="F1773" s="167">
        <f t="shared" si="81"/>
        <v>0</v>
      </c>
    </row>
    <row r="1774" spans="1:6" ht="20.25" hidden="1">
      <c r="A1774" s="212" t="s">
        <v>38</v>
      </c>
      <c r="B1774" s="222"/>
      <c r="C1774" s="224" t="s">
        <v>549</v>
      </c>
      <c r="D1774" s="367">
        <f>D1777+D1778</f>
        <v>0</v>
      </c>
      <c r="E1774" s="414">
        <f>E1777+E1778</f>
        <v>0</v>
      </c>
      <c r="F1774" s="167">
        <f t="shared" si="81"/>
        <v>0</v>
      </c>
    </row>
    <row r="1775" spans="1:6" ht="18" hidden="1" customHeight="1">
      <c r="A1775" s="530" t="s">
        <v>39</v>
      </c>
      <c r="B1775" s="529"/>
      <c r="C1775" s="224" t="s">
        <v>550</v>
      </c>
      <c r="D1775" s="248"/>
      <c r="E1775" s="214"/>
      <c r="F1775" s="167">
        <f t="shared" ref="F1775:F1782" si="82">D1775+E1775</f>
        <v>0</v>
      </c>
    </row>
    <row r="1776" spans="1:6" ht="20.25" hidden="1">
      <c r="A1776" s="221" t="s">
        <v>213</v>
      </c>
      <c r="B1776" s="222"/>
      <c r="C1776" s="224" t="s">
        <v>214</v>
      </c>
      <c r="D1776" s="248"/>
      <c r="E1776" s="214"/>
      <c r="F1776" s="167">
        <f t="shared" si="82"/>
        <v>0</v>
      </c>
    </row>
    <row r="1777" spans="1:6" ht="20.25" hidden="1">
      <c r="A1777" s="221" t="s">
        <v>215</v>
      </c>
      <c r="B1777" s="222"/>
      <c r="C1777" s="224" t="s">
        <v>216</v>
      </c>
      <c r="D1777" s="248"/>
      <c r="E1777" s="214"/>
      <c r="F1777" s="167">
        <f t="shared" si="82"/>
        <v>0</v>
      </c>
    </row>
    <row r="1778" spans="1:6" ht="20.25" hidden="1">
      <c r="A1778" s="221"/>
      <c r="B1778" s="222" t="s">
        <v>852</v>
      </c>
      <c r="C1778" s="224" t="s">
        <v>853</v>
      </c>
      <c r="D1778" s="248"/>
      <c r="E1778" s="214"/>
      <c r="F1778" s="167">
        <f t="shared" si="82"/>
        <v>0</v>
      </c>
    </row>
    <row r="1779" spans="1:6" ht="20.25" hidden="1">
      <c r="A1779" s="221" t="s">
        <v>217</v>
      </c>
      <c r="B1779" s="222"/>
      <c r="C1779" s="224" t="s">
        <v>218</v>
      </c>
      <c r="D1779" s="248"/>
      <c r="E1779" s="214"/>
      <c r="F1779" s="167">
        <f t="shared" si="82"/>
        <v>0</v>
      </c>
    </row>
    <row r="1780" spans="1:6" ht="20.25" hidden="1">
      <c r="A1780" s="221" t="s">
        <v>219</v>
      </c>
      <c r="B1780" s="222"/>
      <c r="C1780" s="224" t="s">
        <v>220</v>
      </c>
      <c r="D1780" s="248"/>
      <c r="E1780" s="214"/>
      <c r="F1780" s="167">
        <f t="shared" si="82"/>
        <v>0</v>
      </c>
    </row>
    <row r="1781" spans="1:6" ht="20.25">
      <c r="A1781" s="204" t="s">
        <v>40</v>
      </c>
      <c r="B1781" s="220"/>
      <c r="C1781" s="202" t="s">
        <v>551</v>
      </c>
      <c r="D1781" s="350">
        <f>D1782</f>
        <v>436362</v>
      </c>
      <c r="E1781" s="409">
        <f>E1782</f>
        <v>5000</v>
      </c>
      <c r="F1781" s="167">
        <f t="shared" si="82"/>
        <v>441362</v>
      </c>
    </row>
    <row r="1782" spans="1:6" ht="20.25">
      <c r="A1782" s="204" t="s">
        <v>41</v>
      </c>
      <c r="B1782" s="220"/>
      <c r="C1782" s="224" t="s">
        <v>552</v>
      </c>
      <c r="D1782" s="367">
        <f>D1783+D1813</f>
        <v>436362</v>
      </c>
      <c r="E1782" s="414">
        <f>E1783+E1813</f>
        <v>5000</v>
      </c>
      <c r="F1782" s="167">
        <f t="shared" si="82"/>
        <v>441362</v>
      </c>
    </row>
    <row r="1783" spans="1:6" ht="20.25">
      <c r="A1783" s="204" t="s">
        <v>42</v>
      </c>
      <c r="B1783" s="220"/>
      <c r="C1783" s="202" t="s">
        <v>553</v>
      </c>
      <c r="D1783" s="350">
        <f>SUM(D1784:D1812)</f>
        <v>401709</v>
      </c>
      <c r="E1783" s="409">
        <f t="shared" ref="E1783:F1783" si="83">SUM(E1784:E1812)</f>
        <v>5000</v>
      </c>
      <c r="F1783" s="482">
        <f t="shared" si="83"/>
        <v>406709</v>
      </c>
    </row>
    <row r="1784" spans="1:6" ht="20.25" hidden="1">
      <c r="A1784" s="236" t="s">
        <v>221</v>
      </c>
      <c r="B1784" s="222"/>
      <c r="C1784" s="224" t="s">
        <v>222</v>
      </c>
      <c r="D1784" s="248"/>
      <c r="E1784" s="214"/>
      <c r="F1784" s="167">
        <f t="shared" ref="F1784:F1851" si="84">D1784+E1784</f>
        <v>0</v>
      </c>
    </row>
    <row r="1785" spans="1:6" ht="20.25" hidden="1">
      <c r="A1785" s="236" t="s">
        <v>223</v>
      </c>
      <c r="B1785" s="222"/>
      <c r="C1785" s="224" t="s">
        <v>224</v>
      </c>
      <c r="D1785" s="248"/>
      <c r="E1785" s="214"/>
      <c r="F1785" s="167">
        <f t="shared" si="84"/>
        <v>0</v>
      </c>
    </row>
    <row r="1786" spans="1:6" ht="20.25" hidden="1">
      <c r="A1786" s="236" t="s">
        <v>225</v>
      </c>
      <c r="B1786" s="222"/>
      <c r="C1786" s="224" t="s">
        <v>226</v>
      </c>
      <c r="D1786" s="248"/>
      <c r="E1786" s="214"/>
      <c r="F1786" s="167">
        <f t="shared" si="84"/>
        <v>0</v>
      </c>
    </row>
    <row r="1787" spans="1:6" ht="20.25" hidden="1">
      <c r="A1787" s="236" t="s">
        <v>227</v>
      </c>
      <c r="B1787" s="222"/>
      <c r="C1787" s="224" t="s">
        <v>228</v>
      </c>
      <c r="D1787" s="248"/>
      <c r="E1787" s="214"/>
      <c r="F1787" s="167">
        <f t="shared" si="84"/>
        <v>0</v>
      </c>
    </row>
    <row r="1788" spans="1:6" ht="18" hidden="1" customHeight="1">
      <c r="A1788" s="530" t="s">
        <v>229</v>
      </c>
      <c r="B1788" s="529"/>
      <c r="C1788" s="224" t="s">
        <v>554</v>
      </c>
      <c r="D1788" s="248"/>
      <c r="E1788" s="214"/>
      <c r="F1788" s="167">
        <f t="shared" si="84"/>
        <v>0</v>
      </c>
    </row>
    <row r="1789" spans="1:6" ht="20.25" hidden="1">
      <c r="A1789" s="236" t="s">
        <v>230</v>
      </c>
      <c r="B1789" s="222"/>
      <c r="C1789" s="224" t="s">
        <v>231</v>
      </c>
      <c r="D1789" s="248"/>
      <c r="E1789" s="214"/>
      <c r="F1789" s="167">
        <f t="shared" si="84"/>
        <v>0</v>
      </c>
    </row>
    <row r="1790" spans="1:6" ht="18" customHeight="1">
      <c r="A1790" s="530" t="s">
        <v>232</v>
      </c>
      <c r="B1790" s="529"/>
      <c r="C1790" s="224" t="s">
        <v>233</v>
      </c>
      <c r="D1790" s="248">
        <v>5000</v>
      </c>
      <c r="E1790" s="214"/>
      <c r="F1790" s="167">
        <f t="shared" si="84"/>
        <v>5000</v>
      </c>
    </row>
    <row r="1791" spans="1:6" ht="20.25" hidden="1">
      <c r="A1791" s="466"/>
      <c r="B1791" s="467" t="s">
        <v>294</v>
      </c>
      <c r="C1791" s="224" t="s">
        <v>288</v>
      </c>
      <c r="D1791" s="248"/>
      <c r="E1791" s="214"/>
      <c r="F1791" s="167">
        <f t="shared" si="84"/>
        <v>0</v>
      </c>
    </row>
    <row r="1792" spans="1:6" ht="20.25" hidden="1">
      <c r="A1792" s="466"/>
      <c r="B1792" s="467" t="s">
        <v>295</v>
      </c>
      <c r="C1792" s="224" t="s">
        <v>296</v>
      </c>
      <c r="D1792" s="248"/>
      <c r="E1792" s="214"/>
      <c r="F1792" s="167">
        <f t="shared" si="84"/>
        <v>0</v>
      </c>
    </row>
    <row r="1793" spans="1:6" ht="36.75">
      <c r="A1793" s="466"/>
      <c r="B1793" s="467" t="s">
        <v>996</v>
      </c>
      <c r="C1793" s="224" t="s">
        <v>995</v>
      </c>
      <c r="D1793" s="248">
        <v>7500</v>
      </c>
      <c r="E1793" s="214"/>
      <c r="F1793" s="167">
        <f t="shared" si="84"/>
        <v>7500</v>
      </c>
    </row>
    <row r="1794" spans="1:6" ht="36.75" hidden="1">
      <c r="A1794" s="466"/>
      <c r="B1794" s="467" t="s">
        <v>297</v>
      </c>
      <c r="C1794" s="224" t="s">
        <v>291</v>
      </c>
      <c r="D1794" s="248"/>
      <c r="E1794" s="214"/>
      <c r="F1794" s="167">
        <f t="shared" si="84"/>
        <v>0</v>
      </c>
    </row>
    <row r="1795" spans="1:6" ht="36.75" hidden="1">
      <c r="A1795" s="477"/>
      <c r="B1795" s="478" t="s">
        <v>340</v>
      </c>
      <c r="C1795" s="224" t="s">
        <v>332</v>
      </c>
      <c r="D1795" s="248"/>
      <c r="E1795" s="214"/>
      <c r="F1795" s="167">
        <f t="shared" si="84"/>
        <v>0</v>
      </c>
    </row>
    <row r="1796" spans="1:6" ht="18.75" hidden="1" customHeight="1">
      <c r="A1796" s="528" t="s">
        <v>341</v>
      </c>
      <c r="B1796" s="529"/>
      <c r="C1796" s="295" t="s">
        <v>330</v>
      </c>
      <c r="D1796" s="248"/>
      <c r="E1796" s="214"/>
      <c r="F1796" s="167">
        <f t="shared" si="84"/>
        <v>0</v>
      </c>
    </row>
    <row r="1797" spans="1:6" ht="20.25" hidden="1">
      <c r="A1797" s="236" t="s">
        <v>234</v>
      </c>
      <c r="B1797" s="222"/>
      <c r="C1797" s="224" t="s">
        <v>235</v>
      </c>
      <c r="D1797" s="248"/>
      <c r="E1797" s="214"/>
      <c r="F1797" s="167">
        <f t="shared" si="84"/>
        <v>0</v>
      </c>
    </row>
    <row r="1798" spans="1:6" ht="20.25" hidden="1">
      <c r="A1798" s="236" t="s">
        <v>236</v>
      </c>
      <c r="B1798" s="222"/>
      <c r="C1798" s="224" t="s">
        <v>237</v>
      </c>
      <c r="D1798" s="248"/>
      <c r="E1798" s="214"/>
      <c r="F1798" s="167">
        <f t="shared" si="84"/>
        <v>0</v>
      </c>
    </row>
    <row r="1799" spans="1:6" ht="20.25" hidden="1">
      <c r="A1799" s="236" t="s">
        <v>43</v>
      </c>
      <c r="B1799" s="222"/>
      <c r="C1799" s="224" t="s">
        <v>555</v>
      </c>
      <c r="D1799" s="248"/>
      <c r="E1799" s="214"/>
      <c r="F1799" s="167">
        <f t="shared" si="84"/>
        <v>0</v>
      </c>
    </row>
    <row r="1800" spans="1:6" ht="20.25" hidden="1">
      <c r="A1800" s="236"/>
      <c r="B1800" s="222" t="s">
        <v>298</v>
      </c>
      <c r="C1800" s="224" t="s">
        <v>309</v>
      </c>
      <c r="D1800" s="248"/>
      <c r="E1800" s="214"/>
      <c r="F1800" s="167">
        <f t="shared" si="84"/>
        <v>0</v>
      </c>
    </row>
    <row r="1801" spans="1:6" ht="20.25" hidden="1">
      <c r="A1801" s="540" t="s">
        <v>44</v>
      </c>
      <c r="B1801" s="529"/>
      <c r="C1801" s="224" t="s">
        <v>45</v>
      </c>
      <c r="D1801" s="248"/>
      <c r="E1801" s="214"/>
      <c r="F1801" s="167">
        <f t="shared" si="84"/>
        <v>0</v>
      </c>
    </row>
    <row r="1802" spans="1:6" ht="20.25" hidden="1">
      <c r="A1802" s="464"/>
      <c r="B1802" s="465" t="s">
        <v>299</v>
      </c>
      <c r="C1802" s="224" t="s">
        <v>289</v>
      </c>
      <c r="D1802" s="248"/>
      <c r="E1802" s="214"/>
      <c r="F1802" s="167">
        <f t="shared" si="84"/>
        <v>0</v>
      </c>
    </row>
    <row r="1803" spans="1:6" ht="20.25" hidden="1">
      <c r="A1803" s="464"/>
      <c r="B1803" s="465" t="s">
        <v>300</v>
      </c>
      <c r="C1803" s="224" t="s">
        <v>290</v>
      </c>
      <c r="D1803" s="248"/>
      <c r="E1803" s="214"/>
      <c r="F1803" s="167">
        <f t="shared" si="84"/>
        <v>0</v>
      </c>
    </row>
    <row r="1804" spans="1:6" ht="20.25" hidden="1">
      <c r="A1804" s="464"/>
      <c r="B1804" s="465" t="s">
        <v>342</v>
      </c>
      <c r="C1804" s="301" t="s">
        <v>326</v>
      </c>
      <c r="D1804" s="248"/>
      <c r="E1804" s="214"/>
      <c r="F1804" s="167">
        <f t="shared" si="84"/>
        <v>0</v>
      </c>
    </row>
    <row r="1805" spans="1:6" ht="36.75" hidden="1">
      <c r="A1805" s="464"/>
      <c r="B1805" s="465" t="s">
        <v>343</v>
      </c>
      <c r="C1805" s="301" t="s">
        <v>331</v>
      </c>
      <c r="D1805" s="248"/>
      <c r="E1805" s="214"/>
      <c r="F1805" s="167">
        <f t="shared" si="84"/>
        <v>0</v>
      </c>
    </row>
    <row r="1806" spans="1:6" ht="20.25" hidden="1">
      <c r="A1806" s="464"/>
      <c r="B1806" s="465" t="s">
        <v>854</v>
      </c>
      <c r="C1806" s="294" t="s">
        <v>4</v>
      </c>
      <c r="D1806" s="248"/>
      <c r="E1806" s="214"/>
      <c r="F1806" s="167">
        <f t="shared" si="84"/>
        <v>0</v>
      </c>
    </row>
    <row r="1807" spans="1:6" ht="36.75" hidden="1" customHeight="1">
      <c r="A1807" s="464"/>
      <c r="B1807" s="465" t="s">
        <v>970</v>
      </c>
      <c r="C1807" s="294" t="s">
        <v>969</v>
      </c>
      <c r="D1807" s="248"/>
      <c r="E1807" s="214"/>
      <c r="F1807" s="167">
        <f t="shared" si="84"/>
        <v>0</v>
      </c>
    </row>
    <row r="1808" spans="1:6" ht="54.75">
      <c r="A1808" s="308"/>
      <c r="B1808" s="309" t="s">
        <v>663</v>
      </c>
      <c r="C1808" s="310" t="s">
        <v>664</v>
      </c>
      <c r="D1808" s="483">
        <v>500</v>
      </c>
      <c r="E1808" s="416"/>
      <c r="F1808" s="371">
        <f t="shared" si="84"/>
        <v>500</v>
      </c>
    </row>
    <row r="1809" spans="1:6" ht="37.5" customHeight="1">
      <c r="A1809" s="540" t="s">
        <v>1038</v>
      </c>
      <c r="B1809" s="529"/>
      <c r="C1809" s="310" t="s">
        <v>1037</v>
      </c>
      <c r="D1809" s="483">
        <f>10000+5000</f>
        <v>15000</v>
      </c>
      <c r="E1809" s="416">
        <v>5000</v>
      </c>
      <c r="F1809" s="356">
        <f t="shared" si="84"/>
        <v>20000</v>
      </c>
    </row>
    <row r="1810" spans="1:6" ht="36.75" customHeight="1">
      <c r="A1810" s="516" t="s">
        <v>1003</v>
      </c>
      <c r="B1810" s="529"/>
      <c r="C1810" s="276" t="s">
        <v>1004</v>
      </c>
      <c r="D1810" s="248">
        <f>125635+2595</f>
        <v>128230</v>
      </c>
      <c r="E1810" s="214"/>
      <c r="F1810" s="482">
        <f>D1810+E1810</f>
        <v>128230</v>
      </c>
    </row>
    <row r="1811" spans="1:6" ht="33.75" customHeight="1">
      <c r="A1811" s="516" t="s">
        <v>1012</v>
      </c>
      <c r="B1811" s="529"/>
      <c r="C1811" s="276" t="s">
        <v>1011</v>
      </c>
      <c r="D1811" s="248">
        <v>241479</v>
      </c>
      <c r="E1811" s="214"/>
      <c r="F1811" s="482">
        <f t="shared" si="84"/>
        <v>241479</v>
      </c>
    </row>
    <row r="1812" spans="1:6" ht="52.5" customHeight="1">
      <c r="A1812" s="516" t="s">
        <v>1073</v>
      </c>
      <c r="B1812" s="517"/>
      <c r="C1812" s="276" t="s">
        <v>1072</v>
      </c>
      <c r="D1812" s="248">
        <v>4000</v>
      </c>
      <c r="E1812" s="214"/>
      <c r="F1812" s="482">
        <f t="shared" si="84"/>
        <v>4000</v>
      </c>
    </row>
    <row r="1813" spans="1:6" ht="20.25">
      <c r="A1813" s="206" t="s">
        <v>46</v>
      </c>
      <c r="B1813" s="220"/>
      <c r="C1813" s="202" t="s">
        <v>556</v>
      </c>
      <c r="D1813" s="349">
        <f>SUM(D1814:D1820)</f>
        <v>34653</v>
      </c>
      <c r="E1813" s="354">
        <f>SUM(E1814:E1818)</f>
        <v>0</v>
      </c>
      <c r="F1813" s="482">
        <f t="shared" si="84"/>
        <v>34653</v>
      </c>
    </row>
    <row r="1814" spans="1:6" ht="20.25" hidden="1">
      <c r="A1814" s="311" t="s">
        <v>855</v>
      </c>
      <c r="B1814" s="312"/>
      <c r="C1814" s="224" t="s">
        <v>856</v>
      </c>
      <c r="D1814" s="248"/>
      <c r="E1814" s="427"/>
      <c r="F1814" s="167">
        <f t="shared" si="84"/>
        <v>0</v>
      </c>
    </row>
    <row r="1815" spans="1:6" ht="18" hidden="1" customHeight="1">
      <c r="A1815" s="530" t="s">
        <v>557</v>
      </c>
      <c r="B1815" s="529"/>
      <c r="C1815" s="224" t="s">
        <v>558</v>
      </c>
      <c r="D1815" s="248"/>
      <c r="E1815" s="214"/>
      <c r="F1815" s="167">
        <f t="shared" si="84"/>
        <v>0</v>
      </c>
    </row>
    <row r="1816" spans="1:6" ht="18" hidden="1" customHeight="1">
      <c r="A1816" s="530" t="s">
        <v>238</v>
      </c>
      <c r="B1816" s="529"/>
      <c r="C1816" s="224" t="s">
        <v>239</v>
      </c>
      <c r="D1816" s="248"/>
      <c r="E1816" s="214"/>
      <c r="F1816" s="167">
        <f t="shared" si="84"/>
        <v>0</v>
      </c>
    </row>
    <row r="1817" spans="1:6" ht="18" hidden="1" customHeight="1">
      <c r="A1817" s="530" t="s">
        <v>1001</v>
      </c>
      <c r="B1817" s="529"/>
      <c r="C1817" s="224" t="s">
        <v>1000</v>
      </c>
      <c r="D1817" s="248"/>
      <c r="E1817" s="214"/>
      <c r="F1817" s="266">
        <f t="shared" si="84"/>
        <v>0</v>
      </c>
    </row>
    <row r="1818" spans="1:6" s="143" customFormat="1" ht="48.75" customHeight="1">
      <c r="A1818" s="539" t="s">
        <v>990</v>
      </c>
      <c r="B1818" s="529"/>
      <c r="C1818" s="276" t="s">
        <v>991</v>
      </c>
      <c r="D1818" s="375">
        <f>3000+190+1800</f>
        <v>4990</v>
      </c>
      <c r="E1818" s="417"/>
      <c r="F1818" s="266">
        <f t="shared" si="84"/>
        <v>4990</v>
      </c>
    </row>
    <row r="1819" spans="1:6" s="143" customFormat="1" ht="37.5" customHeight="1">
      <c r="A1819" s="539" t="s">
        <v>1062</v>
      </c>
      <c r="B1819" s="529"/>
      <c r="C1819" s="276" t="s">
        <v>1054</v>
      </c>
      <c r="D1819" s="375">
        <v>2474</v>
      </c>
      <c r="E1819" s="417"/>
      <c r="F1819" s="266">
        <f t="shared" si="84"/>
        <v>2474</v>
      </c>
    </row>
    <row r="1820" spans="1:6" s="143" customFormat="1" ht="37.5" customHeight="1">
      <c r="A1820" s="539" t="s">
        <v>1063</v>
      </c>
      <c r="B1820" s="529"/>
      <c r="C1820" s="276" t="s">
        <v>1055</v>
      </c>
      <c r="D1820" s="375">
        <v>27189</v>
      </c>
      <c r="E1820" s="417"/>
      <c r="F1820" s="266">
        <f t="shared" si="84"/>
        <v>27189</v>
      </c>
    </row>
    <row r="1821" spans="1:6" s="143" customFormat="1" ht="37.5" customHeight="1">
      <c r="A1821" s="543" t="s">
        <v>1059</v>
      </c>
      <c r="B1821" s="529"/>
      <c r="C1821" s="393" t="s">
        <v>1056</v>
      </c>
      <c r="D1821" s="492">
        <f>SUM(D1822:D1823)</f>
        <v>157545</v>
      </c>
      <c r="E1821" s="425">
        <f>SUM(E1822:E1823)</f>
        <v>62000</v>
      </c>
      <c r="F1821" s="266">
        <f t="shared" si="84"/>
        <v>219545</v>
      </c>
    </row>
    <row r="1822" spans="1:6" s="143" customFormat="1" ht="37.5" customHeight="1">
      <c r="A1822" s="539" t="s">
        <v>1060</v>
      </c>
      <c r="B1822" s="529"/>
      <c r="C1822" s="276" t="s">
        <v>1057</v>
      </c>
      <c r="D1822" s="375">
        <f>113068+26000</f>
        <v>139068</v>
      </c>
      <c r="E1822" s="417">
        <v>62000</v>
      </c>
      <c r="F1822" s="266">
        <f t="shared" si="84"/>
        <v>201068</v>
      </c>
    </row>
    <row r="1823" spans="1:6" s="143" customFormat="1" ht="48.75" customHeight="1">
      <c r="A1823" s="539" t="s">
        <v>1061</v>
      </c>
      <c r="B1823" s="529"/>
      <c r="C1823" s="276" t="s">
        <v>1058</v>
      </c>
      <c r="D1823" s="375">
        <f>17133+1344</f>
        <v>18477</v>
      </c>
      <c r="E1823" s="417"/>
      <c r="F1823" s="266">
        <f t="shared" si="84"/>
        <v>18477</v>
      </c>
    </row>
    <row r="1824" spans="1:6" s="143" customFormat="1" ht="48.75" hidden="1" customHeight="1">
      <c r="A1824" s="471"/>
      <c r="B1824" s="472"/>
      <c r="C1824" s="276"/>
      <c r="D1824" s="375"/>
      <c r="E1824" s="417"/>
      <c r="F1824" s="266"/>
    </row>
    <row r="1825" spans="1:6" s="143" customFormat="1" ht="48.75" hidden="1" customHeight="1">
      <c r="A1825" s="471"/>
      <c r="B1825" s="472"/>
      <c r="C1825" s="276"/>
      <c r="D1825" s="375"/>
      <c r="E1825" s="417"/>
      <c r="F1825" s="266"/>
    </row>
    <row r="1826" spans="1:6" s="143" customFormat="1" ht="48.75" hidden="1" customHeight="1">
      <c r="A1826" s="471"/>
      <c r="B1826" s="472"/>
      <c r="C1826" s="276"/>
      <c r="D1826" s="375"/>
      <c r="E1826" s="417"/>
      <c r="F1826" s="266"/>
    </row>
    <row r="1827" spans="1:6" ht="33.75" customHeight="1">
      <c r="A1827" s="524" t="s">
        <v>859</v>
      </c>
      <c r="B1827" s="529"/>
      <c r="C1827" s="202" t="s">
        <v>477</v>
      </c>
      <c r="D1827" s="350">
        <f>SUM(D1828:D1835)</f>
        <v>500</v>
      </c>
      <c r="E1827" s="409">
        <f>SUM(E1828:E1835)</f>
        <v>0</v>
      </c>
      <c r="F1827" s="167">
        <f t="shared" si="84"/>
        <v>500</v>
      </c>
    </row>
    <row r="1828" spans="1:6" ht="20.25" customHeight="1">
      <c r="A1828" s="398"/>
      <c r="B1828" s="476" t="s">
        <v>860</v>
      </c>
      <c r="C1828" s="224" t="s">
        <v>656</v>
      </c>
      <c r="D1828" s="367">
        <v>500</v>
      </c>
      <c r="E1828" s="414"/>
      <c r="F1828" s="167">
        <f t="shared" si="84"/>
        <v>500</v>
      </c>
    </row>
    <row r="1829" spans="1:6" ht="20.25" hidden="1">
      <c r="A1829" s="466"/>
      <c r="B1829" s="467" t="s">
        <v>327</v>
      </c>
      <c r="C1829" s="224" t="s">
        <v>665</v>
      </c>
      <c r="D1829" s="248"/>
      <c r="E1829" s="214"/>
      <c r="F1829" s="167">
        <f t="shared" si="84"/>
        <v>0</v>
      </c>
    </row>
    <row r="1830" spans="1:6" ht="20.25" hidden="1">
      <c r="A1830" s="466"/>
      <c r="B1830" s="467" t="s">
        <v>652</v>
      </c>
      <c r="C1830" s="224" t="s">
        <v>908</v>
      </c>
      <c r="D1830" s="248"/>
      <c r="E1830" s="214"/>
      <c r="F1830" s="167">
        <f t="shared" si="84"/>
        <v>0</v>
      </c>
    </row>
    <row r="1831" spans="1:6" ht="20.25" hidden="1">
      <c r="A1831" s="466"/>
      <c r="B1831" s="467" t="s">
        <v>344</v>
      </c>
      <c r="C1831" s="224" t="s">
        <v>909</v>
      </c>
      <c r="D1831" s="367"/>
      <c r="E1831" s="414"/>
      <c r="F1831" s="167">
        <f t="shared" si="84"/>
        <v>0</v>
      </c>
    </row>
    <row r="1832" spans="1:6" ht="19.5" hidden="1" customHeight="1">
      <c r="A1832" s="466"/>
      <c r="B1832" s="473" t="s">
        <v>973</v>
      </c>
      <c r="C1832" s="224" t="s">
        <v>971</v>
      </c>
      <c r="D1832" s="248"/>
      <c r="E1832" s="214"/>
      <c r="F1832" s="167">
        <f t="shared" si="84"/>
        <v>0</v>
      </c>
    </row>
    <row r="1833" spans="1:6" ht="18" hidden="1" customHeight="1">
      <c r="A1833" s="476"/>
      <c r="B1833" s="406" t="s">
        <v>972</v>
      </c>
      <c r="C1833" s="224" t="s">
        <v>911</v>
      </c>
      <c r="D1833" s="367"/>
      <c r="E1833" s="414"/>
      <c r="F1833" s="167">
        <f t="shared" si="84"/>
        <v>0</v>
      </c>
    </row>
    <row r="1834" spans="1:6" ht="18" hidden="1" customHeight="1">
      <c r="A1834" s="302"/>
      <c r="B1834" s="313" t="s">
        <v>863</v>
      </c>
      <c r="C1834" s="224" t="s">
        <v>820</v>
      </c>
      <c r="D1834" s="367"/>
      <c r="E1834" s="414"/>
      <c r="F1834" s="167">
        <f t="shared" si="84"/>
        <v>0</v>
      </c>
    </row>
    <row r="1835" spans="1:6" ht="20.25" hidden="1">
      <c r="A1835" s="302"/>
      <c r="B1835" s="303" t="s">
        <v>252</v>
      </c>
      <c r="C1835" s="224" t="s">
        <v>930</v>
      </c>
      <c r="D1835" s="367"/>
      <c r="E1835" s="414"/>
      <c r="F1835" s="167">
        <f t="shared" si="84"/>
        <v>0</v>
      </c>
    </row>
    <row r="1836" spans="1:6" ht="20.25" hidden="1">
      <c r="A1836" s="302"/>
      <c r="B1836" s="303"/>
      <c r="C1836" s="224"/>
      <c r="D1836" s="367"/>
      <c r="E1836" s="414"/>
      <c r="F1836" s="167">
        <f t="shared" si="84"/>
        <v>0</v>
      </c>
    </row>
    <row r="1837" spans="1:6" ht="20.25">
      <c r="A1837" s="283"/>
      <c r="B1837" s="304" t="s">
        <v>931</v>
      </c>
      <c r="C1837" s="202" t="s">
        <v>48</v>
      </c>
      <c r="D1837" s="350">
        <f>D1909+D1950+D1986+D1995+D2023+D2050+D2105+D2139+D2187+D2236+D2282+D2319+D2350+D2379+D2407+D2484</f>
        <v>681939.2</v>
      </c>
      <c r="E1837" s="409">
        <f>E1909+E1950+E1986+E1995+E2023+E2050+E2105+E2139+E2187+E2236+E2282+E2319+E2350+E2379+E2407+E2484</f>
        <v>67000</v>
      </c>
      <c r="F1837" s="167">
        <f t="shared" si="84"/>
        <v>748939.2</v>
      </c>
    </row>
    <row r="1838" spans="1:6" ht="18" hidden="1" customHeight="1">
      <c r="A1838" s="538"/>
      <c r="B1838" s="529"/>
      <c r="C1838" s="203" t="s">
        <v>49</v>
      </c>
      <c r="D1838" s="350">
        <f>D1910+D1951+D1987+D1996+D2024+D2051+D2106+D2140+D2188+D2237+D2283+D2320+D2380+D2408+D2485</f>
        <v>186273.2</v>
      </c>
      <c r="E1838" s="409">
        <f>E1910+E1951+E1987+E1996+E2024+E2051+E2106+E2140+E2188+E2237+E2283+E2320+E2380+E2408+E2485</f>
        <v>62000</v>
      </c>
      <c r="F1838" s="167">
        <f t="shared" si="84"/>
        <v>248273.2</v>
      </c>
    </row>
    <row r="1839" spans="1:6" ht="18" hidden="1" customHeight="1">
      <c r="A1839" s="526"/>
      <c r="B1839" s="529"/>
      <c r="C1839" s="203">
        <v>10</v>
      </c>
      <c r="D1839" s="350">
        <f>D1911+D1952+D2025+D2052+D2107+D2189+D2284</f>
        <v>0</v>
      </c>
      <c r="E1839" s="409">
        <f>E1911+E1952+E2025+E2052+E2107+E2189+E2284</f>
        <v>0</v>
      </c>
      <c r="F1839" s="167">
        <f t="shared" si="84"/>
        <v>0</v>
      </c>
    </row>
    <row r="1840" spans="1:6" ht="18" hidden="1" customHeight="1">
      <c r="A1840" s="538"/>
      <c r="B1840" s="529"/>
      <c r="C1840" s="202">
        <v>20</v>
      </c>
      <c r="D1840" s="350">
        <f>D1912+D1953+D1988+D2026+D2053+D2108+D2142+D2190+D2239+D2285+D2410</f>
        <v>0</v>
      </c>
      <c r="E1840" s="409">
        <f>E1912+E1953+E1988+E2026+E2053+E2108+E2142+E2190+E2239+E2285+E2410</f>
        <v>0</v>
      </c>
      <c r="F1840" s="167">
        <f t="shared" si="84"/>
        <v>0</v>
      </c>
    </row>
    <row r="1841" spans="1:6" ht="18" hidden="1" customHeight="1">
      <c r="A1841" s="530" t="s">
        <v>240</v>
      </c>
      <c r="B1841" s="529"/>
      <c r="C1841" s="202" t="s">
        <v>241</v>
      </c>
      <c r="D1841" s="350"/>
      <c r="E1841" s="409"/>
      <c r="F1841" s="167">
        <f t="shared" si="84"/>
        <v>0</v>
      </c>
    </row>
    <row r="1842" spans="1:6" ht="20.25" hidden="1">
      <c r="A1842" s="215"/>
      <c r="B1842" s="460"/>
      <c r="C1842" s="202">
        <v>30</v>
      </c>
      <c r="D1842" s="350">
        <f>D1990</f>
        <v>0</v>
      </c>
      <c r="E1842" s="409">
        <f>E1990</f>
        <v>0</v>
      </c>
      <c r="F1842" s="167">
        <f t="shared" si="84"/>
        <v>0</v>
      </c>
    </row>
    <row r="1843" spans="1:6" ht="20.25" hidden="1">
      <c r="A1843" s="524" t="s">
        <v>50</v>
      </c>
      <c r="B1843" s="529"/>
      <c r="C1843" s="207" t="s">
        <v>51</v>
      </c>
      <c r="D1843" s="350">
        <f>D1991</f>
        <v>0</v>
      </c>
      <c r="E1843" s="409">
        <f>E1991</f>
        <v>0</v>
      </c>
      <c r="F1843" s="167">
        <f t="shared" si="84"/>
        <v>0</v>
      </c>
    </row>
    <row r="1844" spans="1:6" ht="20.25" hidden="1">
      <c r="A1844" s="524" t="s">
        <v>242</v>
      </c>
      <c r="B1844" s="529"/>
      <c r="C1844" s="203" t="s">
        <v>513</v>
      </c>
      <c r="D1844" s="350"/>
      <c r="E1844" s="409"/>
      <c r="F1844" s="167">
        <f t="shared" si="84"/>
        <v>0</v>
      </c>
    </row>
    <row r="1845" spans="1:6" ht="20.25" hidden="1">
      <c r="A1845" s="216" t="s">
        <v>243</v>
      </c>
      <c r="B1845" s="217"/>
      <c r="C1845" s="203" t="s">
        <v>244</v>
      </c>
      <c r="D1845" s="350"/>
      <c r="E1845" s="409"/>
      <c r="F1845" s="167">
        <f t="shared" si="84"/>
        <v>0</v>
      </c>
    </row>
    <row r="1846" spans="1:6" ht="20.25" hidden="1">
      <c r="A1846" s="215"/>
      <c r="B1846" s="218"/>
      <c r="C1846" s="203" t="s">
        <v>52</v>
      </c>
      <c r="D1846" s="350">
        <f>D2354+D2411</f>
        <v>0</v>
      </c>
      <c r="E1846" s="409">
        <f>E2354+E2411</f>
        <v>0</v>
      </c>
      <c r="F1846" s="167">
        <f t="shared" si="84"/>
        <v>0</v>
      </c>
    </row>
    <row r="1847" spans="1:6" ht="20.25" hidden="1">
      <c r="A1847" s="219" t="s">
        <v>53</v>
      </c>
      <c r="B1847" s="205"/>
      <c r="C1847" s="203" t="s">
        <v>626</v>
      </c>
      <c r="D1847" s="350">
        <f>D2355+D2412</f>
        <v>0</v>
      </c>
      <c r="E1847" s="409">
        <f>E2355+E2412</f>
        <v>0</v>
      </c>
      <c r="F1847" s="167">
        <f t="shared" si="84"/>
        <v>0</v>
      </c>
    </row>
    <row r="1848" spans="1:6" ht="20.25" hidden="1">
      <c r="A1848" s="215"/>
      <c r="B1848" s="205"/>
      <c r="C1848" s="202">
        <v>50</v>
      </c>
      <c r="D1848" s="350"/>
      <c r="E1848" s="409"/>
      <c r="F1848" s="167">
        <f t="shared" si="84"/>
        <v>0</v>
      </c>
    </row>
    <row r="1849" spans="1:6" ht="20.25" hidden="1">
      <c r="A1849" s="219" t="s">
        <v>246</v>
      </c>
      <c r="B1849" s="218"/>
      <c r="C1849" s="203" t="s">
        <v>247</v>
      </c>
      <c r="D1849" s="350"/>
      <c r="E1849" s="409"/>
      <c r="F1849" s="167">
        <f t="shared" si="84"/>
        <v>0</v>
      </c>
    </row>
    <row r="1850" spans="1:6" ht="18" hidden="1" customHeight="1">
      <c r="A1850" s="526"/>
      <c r="B1850" s="529"/>
      <c r="C1850" s="203" t="s">
        <v>592</v>
      </c>
      <c r="D1850" s="350">
        <f>D1956+D1997+D2054+D2109+D2143+D2240</f>
        <v>9524</v>
      </c>
      <c r="E1850" s="409">
        <f>E1956+E1997+E2054+E2109+E2143+E2240</f>
        <v>0</v>
      </c>
      <c r="F1850" s="167">
        <f t="shared" si="84"/>
        <v>9524</v>
      </c>
    </row>
    <row r="1851" spans="1:6" ht="20.25" hidden="1">
      <c r="A1851" s="219" t="s">
        <v>55</v>
      </c>
      <c r="B1851" s="220"/>
      <c r="C1851" s="202" t="s">
        <v>56</v>
      </c>
      <c r="D1851" s="350">
        <f>D1957+D1998+D2055+D2110+D2144+D2241</f>
        <v>1869</v>
      </c>
      <c r="E1851" s="409">
        <f>E1957+E1998+E2055+E2110+E2144+E2241</f>
        <v>0</v>
      </c>
      <c r="F1851" s="167">
        <f t="shared" si="84"/>
        <v>1869</v>
      </c>
    </row>
    <row r="1852" spans="1:6" ht="20.25" hidden="1">
      <c r="A1852" s="221"/>
      <c r="B1852" s="218" t="s">
        <v>57</v>
      </c>
      <c r="C1852" s="202" t="s">
        <v>58</v>
      </c>
      <c r="D1852" s="350">
        <f>D1958+D2145+D2242</f>
        <v>1869</v>
      </c>
      <c r="E1852" s="409">
        <f>E1958+E2145+E2242</f>
        <v>0</v>
      </c>
      <c r="F1852" s="167">
        <f t="shared" ref="F1852:F1915" si="85">D1852+E1852</f>
        <v>1869</v>
      </c>
    </row>
    <row r="1853" spans="1:6" ht="20.25" hidden="1">
      <c r="A1853" s="221"/>
      <c r="B1853" s="220" t="s">
        <v>59</v>
      </c>
      <c r="C1853" s="202" t="s">
        <v>60</v>
      </c>
      <c r="D1853" s="350">
        <f>D2111</f>
        <v>0</v>
      </c>
      <c r="E1853" s="409">
        <f>E2111</f>
        <v>0</v>
      </c>
      <c r="F1853" s="167">
        <f t="shared" si="85"/>
        <v>0</v>
      </c>
    </row>
    <row r="1854" spans="1:6" ht="36" hidden="1">
      <c r="A1854" s="221"/>
      <c r="B1854" s="220" t="s">
        <v>248</v>
      </c>
      <c r="C1854" s="202" t="s">
        <v>249</v>
      </c>
      <c r="D1854" s="350"/>
      <c r="E1854" s="409"/>
      <c r="F1854" s="167">
        <f t="shared" si="85"/>
        <v>0</v>
      </c>
    </row>
    <row r="1855" spans="1:6" ht="36" hidden="1">
      <c r="A1855" s="221"/>
      <c r="B1855" s="220" t="s">
        <v>250</v>
      </c>
      <c r="C1855" s="202" t="s">
        <v>251</v>
      </c>
      <c r="D1855" s="350"/>
      <c r="E1855" s="409"/>
      <c r="F1855" s="167">
        <f t="shared" si="85"/>
        <v>0</v>
      </c>
    </row>
    <row r="1856" spans="1:6" ht="54" hidden="1">
      <c r="A1856" s="221"/>
      <c r="B1856" s="220" t="s">
        <v>253</v>
      </c>
      <c r="C1856" s="202" t="s">
        <v>254</v>
      </c>
      <c r="D1856" s="350"/>
      <c r="E1856" s="409"/>
      <c r="F1856" s="167">
        <f t="shared" si="85"/>
        <v>0</v>
      </c>
    </row>
    <row r="1857" spans="1:6" ht="36" hidden="1">
      <c r="A1857" s="221"/>
      <c r="B1857" s="475" t="s">
        <v>61</v>
      </c>
      <c r="C1857" s="202" t="s">
        <v>62</v>
      </c>
      <c r="D1857" s="350"/>
      <c r="E1857" s="409"/>
      <c r="F1857" s="167">
        <f t="shared" si="85"/>
        <v>0</v>
      </c>
    </row>
    <row r="1858" spans="1:6" ht="20.25" hidden="1">
      <c r="A1858" s="219" t="s">
        <v>63</v>
      </c>
      <c r="B1858" s="460"/>
      <c r="C1858" s="202" t="s">
        <v>560</v>
      </c>
      <c r="D1858" s="350">
        <f>D2112</f>
        <v>7655</v>
      </c>
      <c r="E1858" s="409">
        <f>E2112</f>
        <v>0</v>
      </c>
      <c r="F1858" s="167">
        <f t="shared" si="85"/>
        <v>7655</v>
      </c>
    </row>
    <row r="1859" spans="1:6" ht="20.25" hidden="1">
      <c r="A1859" s="221"/>
      <c r="B1859" s="220" t="s">
        <v>64</v>
      </c>
      <c r="C1859" s="202" t="s">
        <v>65</v>
      </c>
      <c r="D1859" s="350">
        <f>D2113</f>
        <v>7655</v>
      </c>
      <c r="E1859" s="409">
        <f>E2113</f>
        <v>0</v>
      </c>
      <c r="F1859" s="167">
        <f t="shared" si="85"/>
        <v>7655</v>
      </c>
    </row>
    <row r="1860" spans="1:6" ht="20.25" hidden="1">
      <c r="A1860" s="215"/>
      <c r="B1860" s="460"/>
      <c r="C1860" s="203">
        <v>55</v>
      </c>
      <c r="D1860" s="350">
        <f>D1922+D2027+D2057+D2194+D2243+D2323+D2416+D2493</f>
        <v>770.44</v>
      </c>
      <c r="E1860" s="409">
        <f>E1922+E2027+E2057+E2194+E2243+E2323+E2416+E2493</f>
        <v>0</v>
      </c>
      <c r="F1860" s="167">
        <f t="shared" si="85"/>
        <v>770.44</v>
      </c>
    </row>
    <row r="1861" spans="1:6" ht="20.25" hidden="1">
      <c r="A1861" s="219" t="s">
        <v>66</v>
      </c>
      <c r="B1861" s="460"/>
      <c r="C1861" s="202" t="s">
        <v>67</v>
      </c>
      <c r="D1861" s="350">
        <f>D1923+D2028+D2058+D2195+D2244+D2324+D2417+D2494</f>
        <v>770.44</v>
      </c>
      <c r="E1861" s="409">
        <f>E1923+E2028+E2058+E2195+E2244+E2324+E2417+E2494</f>
        <v>0</v>
      </c>
      <c r="F1861" s="167">
        <f t="shared" si="85"/>
        <v>770.44</v>
      </c>
    </row>
    <row r="1862" spans="1:6" ht="20.25" hidden="1">
      <c r="A1862" s="219"/>
      <c r="B1862" s="220" t="s">
        <v>255</v>
      </c>
      <c r="C1862" s="202" t="s">
        <v>256</v>
      </c>
      <c r="D1862" s="350"/>
      <c r="E1862" s="409"/>
      <c r="F1862" s="167">
        <f t="shared" si="85"/>
        <v>0</v>
      </c>
    </row>
    <row r="1863" spans="1:6" ht="36" hidden="1">
      <c r="A1863" s="219"/>
      <c r="B1863" s="220" t="s">
        <v>257</v>
      </c>
      <c r="C1863" s="202" t="s">
        <v>258</v>
      </c>
      <c r="D1863" s="350">
        <f>D2198+D2326</f>
        <v>0</v>
      </c>
      <c r="E1863" s="409">
        <f>E2198+E2326</f>
        <v>0</v>
      </c>
      <c r="F1863" s="167">
        <f t="shared" si="85"/>
        <v>0</v>
      </c>
    </row>
    <row r="1864" spans="1:6" ht="20.25" hidden="1">
      <c r="A1864" s="219"/>
      <c r="B1864" s="475" t="s">
        <v>346</v>
      </c>
      <c r="C1864" s="202" t="s">
        <v>325</v>
      </c>
      <c r="D1864" s="350">
        <f>D2245+D2292+D2361</f>
        <v>0</v>
      </c>
      <c r="E1864" s="409">
        <f>E2245+E2292+E2361</f>
        <v>0</v>
      </c>
      <c r="F1864" s="167">
        <f t="shared" si="85"/>
        <v>0</v>
      </c>
    </row>
    <row r="1865" spans="1:6" ht="20.25" hidden="1">
      <c r="A1865" s="219"/>
      <c r="B1865" s="475" t="s">
        <v>68</v>
      </c>
      <c r="C1865" s="202" t="s">
        <v>622</v>
      </c>
      <c r="D1865" s="350">
        <f>D2246+D2418</f>
        <v>0</v>
      </c>
      <c r="E1865" s="409">
        <f>E2246+E2418</f>
        <v>0</v>
      </c>
      <c r="F1865" s="167">
        <f t="shared" si="85"/>
        <v>0</v>
      </c>
    </row>
    <row r="1866" spans="1:6" ht="20.25" hidden="1">
      <c r="A1866" s="223"/>
      <c r="B1866" s="220" t="s">
        <v>259</v>
      </c>
      <c r="C1866" s="202" t="s">
        <v>260</v>
      </c>
      <c r="D1866" s="350"/>
      <c r="E1866" s="409"/>
      <c r="F1866" s="167">
        <f t="shared" si="85"/>
        <v>0</v>
      </c>
    </row>
    <row r="1867" spans="1:6" ht="20.25" hidden="1">
      <c r="A1867" s="223"/>
      <c r="B1867" s="220" t="s">
        <v>261</v>
      </c>
      <c r="C1867" s="202" t="s">
        <v>262</v>
      </c>
      <c r="D1867" s="350"/>
      <c r="E1867" s="409"/>
      <c r="F1867" s="167">
        <f t="shared" si="85"/>
        <v>0</v>
      </c>
    </row>
    <row r="1868" spans="1:6" ht="20.25" hidden="1">
      <c r="A1868" s="223"/>
      <c r="B1868" s="218" t="s">
        <v>624</v>
      </c>
      <c r="C1868" s="202" t="s">
        <v>625</v>
      </c>
      <c r="D1868" s="350">
        <f>D1924+D2029+D2059+D2247++D2327+D2495</f>
        <v>667.86</v>
      </c>
      <c r="E1868" s="409">
        <f>E1924+E2029+E2059+E2247++E2327+E2495</f>
        <v>0</v>
      </c>
      <c r="F1868" s="167">
        <f t="shared" si="85"/>
        <v>667.86</v>
      </c>
    </row>
    <row r="1869" spans="1:6" ht="20.25" hidden="1">
      <c r="A1869" s="223"/>
      <c r="B1869" s="218" t="s">
        <v>347</v>
      </c>
      <c r="C1869" s="202" t="s">
        <v>329</v>
      </c>
      <c r="D1869" s="350">
        <f>D1927</f>
        <v>0</v>
      </c>
      <c r="E1869" s="409">
        <f>E1927</f>
        <v>0</v>
      </c>
      <c r="F1869" s="167">
        <f t="shared" si="85"/>
        <v>0</v>
      </c>
    </row>
    <row r="1870" spans="1:6" ht="36" hidden="1">
      <c r="A1870" s="223"/>
      <c r="B1870" s="222" t="s">
        <v>321</v>
      </c>
      <c r="C1870" s="202">
        <v>56</v>
      </c>
      <c r="D1870" s="350">
        <f>D2031+D2061+D2149+D2200+D2248+D2294+D2328+D2386+D2422</f>
        <v>2063</v>
      </c>
      <c r="E1870" s="409">
        <f>E2031+E2061+E2149+E2200+E2248+E2294+E2328+E2386+E2422</f>
        <v>62000</v>
      </c>
      <c r="F1870" s="167">
        <f t="shared" si="85"/>
        <v>64063</v>
      </c>
    </row>
    <row r="1871" spans="1:6" ht="20.25" hidden="1">
      <c r="A1871" s="215"/>
      <c r="B1871" s="220"/>
      <c r="C1871" s="203">
        <v>57</v>
      </c>
      <c r="D1871" s="350">
        <f t="shared" ref="D1871:E1874" si="86">D2065+D2117+D2202</f>
        <v>0</v>
      </c>
      <c r="E1871" s="409">
        <f t="shared" si="86"/>
        <v>0</v>
      </c>
      <c r="F1871" s="167">
        <f t="shared" si="85"/>
        <v>0</v>
      </c>
    </row>
    <row r="1872" spans="1:6" ht="20.25" hidden="1">
      <c r="A1872" s="225" t="s">
        <v>69</v>
      </c>
      <c r="B1872" s="220"/>
      <c r="C1872" s="202" t="s">
        <v>70</v>
      </c>
      <c r="D1872" s="350">
        <f t="shared" si="86"/>
        <v>0</v>
      </c>
      <c r="E1872" s="409">
        <f t="shared" si="86"/>
        <v>0</v>
      </c>
      <c r="F1872" s="167">
        <f t="shared" si="85"/>
        <v>0</v>
      </c>
    </row>
    <row r="1873" spans="1:6" ht="20.25" hidden="1">
      <c r="A1873" s="219"/>
      <c r="B1873" s="475" t="s">
        <v>71</v>
      </c>
      <c r="C1873" s="202" t="s">
        <v>72</v>
      </c>
      <c r="D1873" s="350">
        <f t="shared" si="86"/>
        <v>0</v>
      </c>
      <c r="E1873" s="409">
        <f t="shared" si="86"/>
        <v>0</v>
      </c>
      <c r="F1873" s="167">
        <f t="shared" si="85"/>
        <v>0</v>
      </c>
    </row>
    <row r="1874" spans="1:6" ht="20.25" hidden="1">
      <c r="A1874" s="226"/>
      <c r="B1874" s="475" t="s">
        <v>73</v>
      </c>
      <c r="C1874" s="202" t="s">
        <v>74</v>
      </c>
      <c r="D1874" s="350">
        <f t="shared" si="86"/>
        <v>0</v>
      </c>
      <c r="E1874" s="409">
        <f t="shared" si="86"/>
        <v>0</v>
      </c>
      <c r="F1874" s="167">
        <f t="shared" si="85"/>
        <v>0</v>
      </c>
    </row>
    <row r="1875" spans="1:6" ht="20.25" hidden="1">
      <c r="A1875" s="226"/>
      <c r="B1875" s="475" t="s">
        <v>308</v>
      </c>
      <c r="C1875" s="202" t="s">
        <v>292</v>
      </c>
      <c r="D1875" s="350"/>
      <c r="E1875" s="409"/>
      <c r="F1875" s="167">
        <f t="shared" si="85"/>
        <v>0</v>
      </c>
    </row>
    <row r="1876" spans="1:6" ht="20.25" hidden="1">
      <c r="A1876" s="215"/>
      <c r="B1876" s="396"/>
      <c r="C1876" s="203">
        <v>59</v>
      </c>
      <c r="D1876" s="350">
        <f>D1930+D2070+D2151+D2207+D2459</f>
        <v>0</v>
      </c>
      <c r="E1876" s="409">
        <f>E1930+E2070+E2151+E2207+E2459</f>
        <v>0</v>
      </c>
      <c r="F1876" s="167">
        <f t="shared" si="85"/>
        <v>0</v>
      </c>
    </row>
    <row r="1877" spans="1:6" ht="20.25" hidden="1">
      <c r="A1877" s="219" t="s">
        <v>75</v>
      </c>
      <c r="B1877" s="220"/>
      <c r="C1877" s="202" t="s">
        <v>76</v>
      </c>
      <c r="D1877" s="350">
        <f>D2071</f>
        <v>0</v>
      </c>
      <c r="E1877" s="409">
        <f>E2071</f>
        <v>0</v>
      </c>
      <c r="F1877" s="167">
        <f t="shared" si="85"/>
        <v>0</v>
      </c>
    </row>
    <row r="1878" spans="1:6" ht="20.25" hidden="1">
      <c r="A1878" s="206" t="s">
        <v>263</v>
      </c>
      <c r="B1878" s="208"/>
      <c r="C1878" s="202" t="s">
        <v>108</v>
      </c>
      <c r="D1878" s="350"/>
      <c r="E1878" s="409"/>
      <c r="F1878" s="167">
        <f t="shared" si="85"/>
        <v>0</v>
      </c>
    </row>
    <row r="1879" spans="1:6" ht="20.25" hidden="1">
      <c r="A1879" s="206" t="s">
        <v>77</v>
      </c>
      <c r="B1879" s="396"/>
      <c r="C1879" s="202" t="s">
        <v>619</v>
      </c>
      <c r="D1879" s="350">
        <f>D2072+D2152+D2208</f>
        <v>0</v>
      </c>
      <c r="E1879" s="409">
        <f>E2072+E2152+E2208</f>
        <v>0</v>
      </c>
      <c r="F1879" s="167">
        <f t="shared" si="85"/>
        <v>0</v>
      </c>
    </row>
    <row r="1880" spans="1:6" ht="20.25" hidden="1">
      <c r="A1880" s="206" t="s">
        <v>78</v>
      </c>
      <c r="B1880" s="396"/>
      <c r="C1880" s="202" t="s">
        <v>620</v>
      </c>
      <c r="D1880" s="350">
        <f>D2153</f>
        <v>0</v>
      </c>
      <c r="E1880" s="409">
        <f>E2153</f>
        <v>0</v>
      </c>
      <c r="F1880" s="167">
        <f t="shared" si="85"/>
        <v>0</v>
      </c>
    </row>
    <row r="1881" spans="1:6" ht="20.25" hidden="1">
      <c r="A1881" s="206" t="s">
        <v>264</v>
      </c>
      <c r="B1881" s="396"/>
      <c r="C1881" s="202" t="s">
        <v>265</v>
      </c>
      <c r="D1881" s="350"/>
      <c r="E1881" s="409"/>
      <c r="F1881" s="167">
        <f t="shared" si="85"/>
        <v>0</v>
      </c>
    </row>
    <row r="1882" spans="1:6" ht="20.25" hidden="1">
      <c r="A1882" s="206" t="s">
        <v>266</v>
      </c>
      <c r="B1882" s="396"/>
      <c r="C1882" s="202" t="s">
        <v>267</v>
      </c>
      <c r="D1882" s="350">
        <f>D1931</f>
        <v>0</v>
      </c>
      <c r="E1882" s="409">
        <f>E1931</f>
        <v>0</v>
      </c>
      <c r="F1882" s="167">
        <f t="shared" si="85"/>
        <v>0</v>
      </c>
    </row>
    <row r="1883" spans="1:6" ht="20.25" hidden="1">
      <c r="A1883" s="215"/>
      <c r="B1883" s="305"/>
      <c r="C1883" s="203">
        <v>70</v>
      </c>
      <c r="D1883" s="350">
        <f>D1932+D1966+D2012+D2032+D2073+D2124+D2155+D2209+D2254+D2297+D2330+D2362+D2388+D2425+D2461</f>
        <v>78763</v>
      </c>
      <c r="E1883" s="409">
        <f>E1932+E1966+E2012+E2032+E2073+E2124+E2155+E2209+E2254+E2297+E2330+E2362+E2388+E2425+E2461</f>
        <v>5010</v>
      </c>
      <c r="F1883" s="167">
        <f t="shared" si="85"/>
        <v>83773</v>
      </c>
    </row>
    <row r="1884" spans="1:6" ht="18" hidden="1" customHeight="1">
      <c r="A1884" s="544"/>
      <c r="B1884" s="529"/>
      <c r="C1884" s="203">
        <v>71</v>
      </c>
      <c r="D1884" s="350">
        <f>D1933+D1967+D2013+D2033+D2074+D2125+D2156+D2210+D2255+D2298+D2331+D2363+D2389+D2426+D2462</f>
        <v>78763</v>
      </c>
      <c r="E1884" s="409">
        <f>E1933+E1967+E2013+E2033+E2074+E2125+E2156+E2210+E2255+E2298+E2331+E2363+E2389+E2426+E2462</f>
        <v>5010</v>
      </c>
      <c r="F1884" s="167">
        <f t="shared" si="85"/>
        <v>83773</v>
      </c>
    </row>
    <row r="1885" spans="1:6" ht="18" hidden="1" customHeight="1">
      <c r="A1885" s="526" t="s">
        <v>79</v>
      </c>
      <c r="B1885" s="529"/>
      <c r="C1885" s="202" t="s">
        <v>80</v>
      </c>
      <c r="D1885" s="350"/>
      <c r="E1885" s="409"/>
      <c r="F1885" s="167">
        <f t="shared" si="85"/>
        <v>0</v>
      </c>
    </row>
    <row r="1886" spans="1:6" ht="20.25" hidden="1">
      <c r="A1886" s="219"/>
      <c r="B1886" s="218" t="s">
        <v>81</v>
      </c>
      <c r="C1886" s="228" t="s">
        <v>82</v>
      </c>
      <c r="D1886" s="350"/>
      <c r="E1886" s="409"/>
      <c r="F1886" s="167">
        <f t="shared" si="85"/>
        <v>0</v>
      </c>
    </row>
    <row r="1887" spans="1:6" ht="20.25" hidden="1">
      <c r="A1887" s="219"/>
      <c r="B1887" s="220" t="s">
        <v>83</v>
      </c>
      <c r="C1887" s="228" t="s">
        <v>84</v>
      </c>
      <c r="D1887" s="350"/>
      <c r="E1887" s="409"/>
      <c r="F1887" s="167">
        <f t="shared" si="85"/>
        <v>0</v>
      </c>
    </row>
    <row r="1888" spans="1:6" ht="20.25" hidden="1">
      <c r="A1888" s="219"/>
      <c r="B1888" s="220" t="s">
        <v>85</v>
      </c>
      <c r="C1888" s="228" t="s">
        <v>86</v>
      </c>
      <c r="D1888" s="350"/>
      <c r="E1888" s="409"/>
      <c r="F1888" s="167">
        <f t="shared" si="85"/>
        <v>0</v>
      </c>
    </row>
    <row r="1889" spans="1:6" ht="20.25" hidden="1">
      <c r="A1889" s="219"/>
      <c r="B1889" s="475" t="s">
        <v>87</v>
      </c>
      <c r="C1889" s="228" t="s">
        <v>88</v>
      </c>
      <c r="D1889" s="350"/>
      <c r="E1889" s="409"/>
      <c r="F1889" s="167">
        <f t="shared" si="85"/>
        <v>0</v>
      </c>
    </row>
    <row r="1890" spans="1:6" ht="20.25" hidden="1">
      <c r="A1890" s="526" t="s">
        <v>268</v>
      </c>
      <c r="B1890" s="529"/>
      <c r="C1890" s="228" t="s">
        <v>269</v>
      </c>
      <c r="D1890" s="350"/>
      <c r="E1890" s="409"/>
      <c r="F1890" s="167">
        <f t="shared" si="85"/>
        <v>0</v>
      </c>
    </row>
    <row r="1891" spans="1:6" ht="20.25" hidden="1">
      <c r="A1891" s="219"/>
      <c r="B1891" s="218"/>
      <c r="C1891" s="202">
        <v>72</v>
      </c>
      <c r="D1891" s="350"/>
      <c r="E1891" s="409"/>
      <c r="F1891" s="167">
        <f t="shared" si="85"/>
        <v>0</v>
      </c>
    </row>
    <row r="1892" spans="1:6" ht="20.25" hidden="1">
      <c r="A1892" s="229" t="s">
        <v>270</v>
      </c>
      <c r="B1892" s="218"/>
      <c r="C1892" s="202" t="s">
        <v>271</v>
      </c>
      <c r="D1892" s="350"/>
      <c r="E1892" s="409"/>
      <c r="F1892" s="167">
        <f t="shared" si="85"/>
        <v>0</v>
      </c>
    </row>
    <row r="1893" spans="1:6" ht="20.25" hidden="1">
      <c r="A1893" s="229"/>
      <c r="B1893" s="220" t="s">
        <v>272</v>
      </c>
      <c r="C1893" s="202" t="s">
        <v>273</v>
      </c>
      <c r="D1893" s="350"/>
      <c r="E1893" s="409"/>
      <c r="F1893" s="167">
        <f t="shared" si="85"/>
        <v>0</v>
      </c>
    </row>
    <row r="1894" spans="1:6" ht="20.25" hidden="1">
      <c r="A1894" s="215"/>
      <c r="B1894" s="220"/>
      <c r="C1894" s="202">
        <v>79</v>
      </c>
      <c r="D1894" s="350">
        <f>D1940+D1974+D2081+D2163+D2217+D2265+D2308+D2370+D2399+D2435+D2469</f>
        <v>17521</v>
      </c>
      <c r="E1894" s="409">
        <f>E1940+E1974+E2081+E2163+E2217+E2265+E2308+E2370+E2399+E2435+E2469</f>
        <v>0</v>
      </c>
      <c r="F1894" s="167">
        <f t="shared" si="85"/>
        <v>17521</v>
      </c>
    </row>
    <row r="1895" spans="1:6" ht="20.25" hidden="1">
      <c r="A1895" s="229"/>
      <c r="B1895" s="220"/>
      <c r="C1895" s="202">
        <v>80</v>
      </c>
      <c r="D1895" s="350"/>
      <c r="E1895" s="409"/>
      <c r="F1895" s="167">
        <f t="shared" si="85"/>
        <v>0</v>
      </c>
    </row>
    <row r="1896" spans="1:6" ht="18" hidden="1" customHeight="1">
      <c r="A1896" s="534" t="s">
        <v>274</v>
      </c>
      <c r="B1896" s="529"/>
      <c r="C1896" s="202" t="s">
        <v>275</v>
      </c>
      <c r="D1896" s="350"/>
      <c r="E1896" s="409"/>
      <c r="F1896" s="167">
        <f t="shared" si="85"/>
        <v>0</v>
      </c>
    </row>
    <row r="1897" spans="1:6" ht="20.25" hidden="1">
      <c r="A1897" s="206" t="s">
        <v>276</v>
      </c>
      <c r="B1897" s="205"/>
      <c r="C1897" s="202" t="s">
        <v>277</v>
      </c>
      <c r="D1897" s="350"/>
      <c r="E1897" s="409"/>
      <c r="F1897" s="167">
        <f t="shared" si="85"/>
        <v>0</v>
      </c>
    </row>
    <row r="1898" spans="1:6" ht="20.25" hidden="1">
      <c r="A1898" s="219"/>
      <c r="B1898" s="220"/>
      <c r="C1898" s="202">
        <v>81</v>
      </c>
      <c r="D1898" s="350">
        <f>D1941+D1975+D2082+D2164+D2218+D2266+D2309+D2371+D2400+D2436+D2473</f>
        <v>17521</v>
      </c>
      <c r="E1898" s="409">
        <f>E1941+E1975+E2082+E2164+E2218+E2266+E2309+E2371+E2400+E2436+E2473</f>
        <v>0</v>
      </c>
      <c r="F1898" s="167">
        <f t="shared" si="85"/>
        <v>17521</v>
      </c>
    </row>
    <row r="1899" spans="1:6" ht="20.25" hidden="1">
      <c r="A1899" s="206" t="s">
        <v>278</v>
      </c>
      <c r="B1899" s="220"/>
      <c r="C1899" s="202" t="s">
        <v>279</v>
      </c>
      <c r="D1899" s="350"/>
      <c r="E1899" s="409"/>
      <c r="F1899" s="167">
        <f t="shared" si="85"/>
        <v>0</v>
      </c>
    </row>
    <row r="1900" spans="1:6" ht="20.25" hidden="1">
      <c r="A1900" s="206" t="s">
        <v>629</v>
      </c>
      <c r="B1900" s="220"/>
      <c r="C1900" s="202" t="s">
        <v>602</v>
      </c>
      <c r="D1900" s="350">
        <f>D1943+D2084+D2165+D2219+D2268+D2311+D2373+D2401+D2438+D2474</f>
        <v>8422</v>
      </c>
      <c r="E1900" s="409">
        <f>E1943+E2084+E2165+E2219+E2268+E2311+E2373+E2401+E2438+E2474</f>
        <v>0</v>
      </c>
      <c r="F1900" s="167">
        <f t="shared" si="85"/>
        <v>8422</v>
      </c>
    </row>
    <row r="1901" spans="1:6" ht="20.25" hidden="1">
      <c r="A1901" s="206"/>
      <c r="B1901" s="220" t="s">
        <v>318</v>
      </c>
      <c r="C1901" s="202">
        <v>85</v>
      </c>
      <c r="D1901" s="350">
        <f>D1944+D1977+D2040+D2086+D2166+D2221+D2269+D2340+D2439</f>
        <v>0</v>
      </c>
      <c r="E1901" s="409">
        <f>E1944+E1977+E2040+E2086+E2166+E2221+E2269+E2340+E2439</f>
        <v>0</v>
      </c>
      <c r="F1901" s="167">
        <f t="shared" si="85"/>
        <v>0</v>
      </c>
    </row>
    <row r="1902" spans="1:6" ht="20.25" hidden="1">
      <c r="A1902" s="206"/>
      <c r="B1902" s="220" t="s">
        <v>311</v>
      </c>
      <c r="C1902" s="202" t="s">
        <v>312</v>
      </c>
      <c r="D1902" s="350">
        <f>D1945+D1978+D2041+D2087+D2167+D2222+D2270+D2341+D2440</f>
        <v>0</v>
      </c>
      <c r="E1902" s="409">
        <f>E1945+E1978+E2041+E2087+E2167+E2222+E2270+E2341+E2440</f>
        <v>0</v>
      </c>
      <c r="F1902" s="167">
        <f t="shared" si="85"/>
        <v>0</v>
      </c>
    </row>
    <row r="1903" spans="1:6" ht="20.25" hidden="1">
      <c r="A1903" s="215"/>
      <c r="B1903" s="220"/>
      <c r="C1903" s="203">
        <v>90</v>
      </c>
      <c r="D1903" s="350"/>
      <c r="E1903" s="409"/>
      <c r="F1903" s="167">
        <f t="shared" si="85"/>
        <v>0</v>
      </c>
    </row>
    <row r="1904" spans="1:6" ht="20.25" hidden="1">
      <c r="A1904" s="230" t="s">
        <v>637</v>
      </c>
      <c r="B1904" s="475"/>
      <c r="C1904" s="202" t="s">
        <v>280</v>
      </c>
      <c r="D1904" s="350"/>
      <c r="E1904" s="409"/>
      <c r="F1904" s="167">
        <f t="shared" si="85"/>
        <v>0</v>
      </c>
    </row>
    <row r="1905" spans="1:6" ht="20.25" hidden="1">
      <c r="A1905" s="230" t="s">
        <v>90</v>
      </c>
      <c r="B1905" s="475"/>
      <c r="C1905" s="202" t="s">
        <v>91</v>
      </c>
      <c r="D1905" s="350"/>
      <c r="E1905" s="409"/>
      <c r="F1905" s="167">
        <f t="shared" si="85"/>
        <v>0</v>
      </c>
    </row>
    <row r="1906" spans="1:6" ht="20.25" hidden="1">
      <c r="A1906" s="230" t="s">
        <v>281</v>
      </c>
      <c r="B1906" s="475"/>
      <c r="C1906" s="202" t="s">
        <v>282</v>
      </c>
      <c r="D1906" s="350"/>
      <c r="E1906" s="409"/>
      <c r="F1906" s="167">
        <f t="shared" si="85"/>
        <v>0</v>
      </c>
    </row>
    <row r="1907" spans="1:6" ht="20.25" hidden="1">
      <c r="A1907" s="231"/>
      <c r="B1907" s="474"/>
      <c r="C1907" s="202"/>
      <c r="D1907" s="350"/>
      <c r="E1907" s="409"/>
      <c r="F1907" s="167">
        <f t="shared" si="85"/>
        <v>0</v>
      </c>
    </row>
    <row r="1908" spans="1:6" ht="20.25" hidden="1">
      <c r="A1908" s="200" t="s">
        <v>889</v>
      </c>
      <c r="B1908" s="245"/>
      <c r="C1908" s="203" t="s">
        <v>559</v>
      </c>
      <c r="D1908" s="350">
        <f>D1909+D1950+D1986+D1995</f>
        <v>614</v>
      </c>
      <c r="E1908" s="409">
        <f>E1909+E1950+E1986+E1995</f>
        <v>0</v>
      </c>
      <c r="F1908" s="167">
        <f t="shared" si="85"/>
        <v>614</v>
      </c>
    </row>
    <row r="1909" spans="1:6" ht="20.25">
      <c r="A1909" s="232"/>
      <c r="B1909" s="233" t="s">
        <v>92</v>
      </c>
      <c r="C1909" s="202" t="s">
        <v>560</v>
      </c>
      <c r="D1909" s="350">
        <f>D1947</f>
        <v>404</v>
      </c>
      <c r="E1909" s="409">
        <f>E1947</f>
        <v>0</v>
      </c>
      <c r="F1909" s="167">
        <f t="shared" si="85"/>
        <v>404</v>
      </c>
    </row>
    <row r="1910" spans="1:6" ht="20.25" hidden="1">
      <c r="A1910" s="234" t="s">
        <v>914</v>
      </c>
      <c r="B1910" s="397"/>
      <c r="C1910" s="235" t="s">
        <v>49</v>
      </c>
      <c r="D1910" s="367">
        <f>D1911+D1912+D1923+D1928+D1925+D1930</f>
        <v>0</v>
      </c>
      <c r="E1910" s="414">
        <f>E1911+E1912+E1923+E1928+E1925+E1930</f>
        <v>0</v>
      </c>
      <c r="F1910" s="167">
        <f t="shared" si="85"/>
        <v>0</v>
      </c>
    </row>
    <row r="1911" spans="1:6" ht="20.25" hidden="1">
      <c r="A1911" s="221" t="s">
        <v>561</v>
      </c>
      <c r="B1911" s="474"/>
      <c r="C1911" s="235">
        <v>10</v>
      </c>
      <c r="D1911" s="248"/>
      <c r="E1911" s="214"/>
      <c r="F1911" s="167">
        <f t="shared" si="85"/>
        <v>0</v>
      </c>
    </row>
    <row r="1912" spans="1:6" ht="20.25" hidden="1">
      <c r="A1912" s="236" t="s">
        <v>562</v>
      </c>
      <c r="B1912" s="474"/>
      <c r="C1912" s="224">
        <v>20</v>
      </c>
      <c r="D1912" s="248"/>
      <c r="E1912" s="214"/>
      <c r="F1912" s="167">
        <f t="shared" si="85"/>
        <v>0</v>
      </c>
    </row>
    <row r="1913" spans="1:6" ht="20.25" hidden="1">
      <c r="A1913" s="219" t="s">
        <v>283</v>
      </c>
      <c r="B1913" s="474"/>
      <c r="C1913" s="235" t="s">
        <v>592</v>
      </c>
      <c r="D1913" s="248"/>
      <c r="E1913" s="214"/>
      <c r="F1913" s="167">
        <f t="shared" si="85"/>
        <v>0</v>
      </c>
    </row>
    <row r="1914" spans="1:6" ht="20.25" hidden="1">
      <c r="A1914" s="215"/>
      <c r="B1914" s="474"/>
      <c r="C1914" s="235" t="s">
        <v>56</v>
      </c>
      <c r="D1914" s="248"/>
      <c r="E1914" s="214"/>
      <c r="F1914" s="167">
        <f t="shared" si="85"/>
        <v>0</v>
      </c>
    </row>
    <row r="1915" spans="1:6" ht="20.25" hidden="1">
      <c r="A1915" s="215"/>
      <c r="B1915" s="222" t="s">
        <v>100</v>
      </c>
      <c r="C1915" s="235" t="s">
        <v>58</v>
      </c>
      <c r="D1915" s="248"/>
      <c r="E1915" s="214"/>
      <c r="F1915" s="167">
        <f t="shared" si="85"/>
        <v>0</v>
      </c>
    </row>
    <row r="1916" spans="1:6" ht="20.25" hidden="1">
      <c r="A1916" s="219" t="s">
        <v>284</v>
      </c>
      <c r="B1916" s="218"/>
      <c r="C1916" s="235">
        <v>55</v>
      </c>
      <c r="D1916" s="248"/>
      <c r="E1916" s="214"/>
      <c r="F1916" s="167">
        <f t="shared" ref="F1916:F1979" si="87">D1916+E1916</f>
        <v>0</v>
      </c>
    </row>
    <row r="1917" spans="1:6" ht="20.25" hidden="1">
      <c r="A1917" s="221"/>
      <c r="B1917" s="218"/>
      <c r="C1917" s="224" t="s">
        <v>67</v>
      </c>
      <c r="D1917" s="248"/>
      <c r="E1917" s="214"/>
      <c r="F1917" s="167">
        <f t="shared" si="87"/>
        <v>0</v>
      </c>
    </row>
    <row r="1918" spans="1:6" ht="20.25" hidden="1">
      <c r="A1918" s="219"/>
      <c r="B1918" s="220" t="s">
        <v>285</v>
      </c>
      <c r="C1918" s="224" t="s">
        <v>258</v>
      </c>
      <c r="D1918" s="248"/>
      <c r="E1918" s="214"/>
      <c r="F1918" s="167">
        <f t="shared" si="87"/>
        <v>0</v>
      </c>
    </row>
    <row r="1919" spans="1:6" ht="20.25" hidden="1">
      <c r="A1919" s="219"/>
      <c r="B1919" s="218" t="s">
        <v>624</v>
      </c>
      <c r="C1919" s="224" t="s">
        <v>625</v>
      </c>
      <c r="D1919" s="248"/>
      <c r="E1919" s="214"/>
      <c r="F1919" s="167">
        <f t="shared" si="87"/>
        <v>0</v>
      </c>
    </row>
    <row r="1920" spans="1:6" ht="20.25" hidden="1">
      <c r="A1920" s="237" t="s">
        <v>286</v>
      </c>
      <c r="B1920" s="220"/>
      <c r="C1920" s="235">
        <v>59</v>
      </c>
      <c r="D1920" s="248"/>
      <c r="E1920" s="214"/>
      <c r="F1920" s="167">
        <f t="shared" si="87"/>
        <v>0</v>
      </c>
    </row>
    <row r="1921" spans="1:6" ht="20.25" hidden="1">
      <c r="A1921" s="219"/>
      <c r="B1921" s="475"/>
      <c r="C1921" s="224" t="s">
        <v>267</v>
      </c>
      <c r="D1921" s="248"/>
      <c r="E1921" s="214"/>
      <c r="F1921" s="167">
        <f t="shared" si="87"/>
        <v>0</v>
      </c>
    </row>
    <row r="1922" spans="1:6" ht="20.25" hidden="1">
      <c r="A1922" s="238" t="s">
        <v>304</v>
      </c>
      <c r="B1922" s="475"/>
      <c r="C1922" s="224">
        <v>55</v>
      </c>
      <c r="D1922" s="378">
        <f>D1923</f>
        <v>0</v>
      </c>
      <c r="E1922" s="415">
        <f>E1923</f>
        <v>0</v>
      </c>
      <c r="F1922" s="167">
        <f t="shared" si="87"/>
        <v>0</v>
      </c>
    </row>
    <row r="1923" spans="1:6" ht="20.25" hidden="1">
      <c r="A1923" s="238" t="s">
        <v>348</v>
      </c>
      <c r="B1923" s="475"/>
      <c r="C1923" s="224" t="s">
        <v>67</v>
      </c>
      <c r="D1923" s="378">
        <f>D1924+D1927</f>
        <v>0</v>
      </c>
      <c r="E1923" s="415">
        <f>E1924+E1927</f>
        <v>0</v>
      </c>
      <c r="F1923" s="167">
        <f t="shared" si="87"/>
        <v>0</v>
      </c>
    </row>
    <row r="1924" spans="1:6" ht="20.25" hidden="1">
      <c r="A1924" s="238" t="s">
        <v>624</v>
      </c>
      <c r="B1924" s="475"/>
      <c r="C1924" s="224" t="s">
        <v>625</v>
      </c>
      <c r="D1924" s="248"/>
      <c r="E1924" s="214"/>
      <c r="F1924" s="167">
        <f t="shared" si="87"/>
        <v>0</v>
      </c>
    </row>
    <row r="1925" spans="1:6" ht="36" hidden="1">
      <c r="A1925" s="215"/>
      <c r="B1925" s="222" t="s">
        <v>321</v>
      </c>
      <c r="C1925" s="235">
        <v>56</v>
      </c>
      <c r="D1925" s="248"/>
      <c r="E1925" s="214"/>
      <c r="F1925" s="167">
        <f t="shared" si="87"/>
        <v>0</v>
      </c>
    </row>
    <row r="1926" spans="1:6" ht="20.25" hidden="1">
      <c r="A1926" s="215"/>
      <c r="B1926" s="222" t="s">
        <v>315</v>
      </c>
      <c r="C1926" s="235">
        <v>56.01</v>
      </c>
      <c r="D1926" s="248"/>
      <c r="E1926" s="214"/>
      <c r="F1926" s="167">
        <f t="shared" si="87"/>
        <v>0</v>
      </c>
    </row>
    <row r="1927" spans="1:6" ht="20.25" hidden="1">
      <c r="A1927" s="215"/>
      <c r="B1927" s="222" t="s">
        <v>347</v>
      </c>
      <c r="C1927" s="224" t="s">
        <v>329</v>
      </c>
      <c r="D1927" s="248"/>
      <c r="E1927" s="214"/>
      <c r="F1927" s="167">
        <f t="shared" si="87"/>
        <v>0</v>
      </c>
    </row>
    <row r="1928" spans="1:6" ht="20.25" hidden="1">
      <c r="A1928" s="238" t="s">
        <v>316</v>
      </c>
      <c r="B1928" s="475"/>
      <c r="C1928" s="224">
        <v>57</v>
      </c>
      <c r="D1928" s="248"/>
      <c r="E1928" s="214"/>
      <c r="F1928" s="167">
        <f t="shared" si="87"/>
        <v>0</v>
      </c>
    </row>
    <row r="1929" spans="1:6" ht="20.25" hidden="1">
      <c r="A1929" s="219"/>
      <c r="B1929" s="475" t="s">
        <v>308</v>
      </c>
      <c r="C1929" s="224" t="s">
        <v>292</v>
      </c>
      <c r="D1929" s="248"/>
      <c r="E1929" s="214"/>
      <c r="F1929" s="167">
        <f t="shared" si="87"/>
        <v>0</v>
      </c>
    </row>
    <row r="1930" spans="1:6" ht="20.25" hidden="1">
      <c r="A1930" s="215" t="s">
        <v>613</v>
      </c>
      <c r="B1930" s="396"/>
      <c r="C1930" s="235">
        <v>59</v>
      </c>
      <c r="D1930" s="248">
        <f>D1931</f>
        <v>0</v>
      </c>
      <c r="E1930" s="214">
        <f>E1931</f>
        <v>0</v>
      </c>
      <c r="F1930" s="167">
        <f t="shared" si="87"/>
        <v>0</v>
      </c>
    </row>
    <row r="1931" spans="1:6" ht="20.25" hidden="1">
      <c r="A1931" s="219"/>
      <c r="B1931" s="239" t="s">
        <v>349</v>
      </c>
      <c r="C1931" s="224" t="s">
        <v>267</v>
      </c>
      <c r="D1931" s="248"/>
      <c r="E1931" s="214"/>
      <c r="F1931" s="167">
        <f t="shared" si="87"/>
        <v>0</v>
      </c>
    </row>
    <row r="1932" spans="1:6" ht="20.25">
      <c r="A1932" s="240" t="s">
        <v>915</v>
      </c>
      <c r="B1932" s="474"/>
      <c r="C1932" s="224">
        <v>70</v>
      </c>
      <c r="D1932" s="378">
        <f>D1933</f>
        <v>404</v>
      </c>
      <c r="E1932" s="415">
        <f>E1933</f>
        <v>0</v>
      </c>
      <c r="F1932" s="167">
        <f t="shared" si="87"/>
        <v>404</v>
      </c>
    </row>
    <row r="1933" spans="1:6" ht="20.25">
      <c r="A1933" s="226" t="s">
        <v>1016</v>
      </c>
      <c r="B1933" s="474"/>
      <c r="C1933" s="224">
        <v>71</v>
      </c>
      <c r="D1933" s="248">
        <f>401+3</f>
        <v>404</v>
      </c>
      <c r="E1933" s="214"/>
      <c r="F1933" s="167">
        <f t="shared" si="87"/>
        <v>404</v>
      </c>
    </row>
    <row r="1934" spans="1:6" ht="20.25" hidden="1">
      <c r="A1934" s="219" t="s">
        <v>93</v>
      </c>
      <c r="B1934" s="474"/>
      <c r="C1934" s="224" t="s">
        <v>80</v>
      </c>
      <c r="D1934" s="248"/>
      <c r="E1934" s="214"/>
      <c r="F1934" s="167">
        <f t="shared" si="87"/>
        <v>0</v>
      </c>
    </row>
    <row r="1935" spans="1:6" ht="20.25" hidden="1">
      <c r="A1935" s="219"/>
      <c r="B1935" s="218" t="s">
        <v>81</v>
      </c>
      <c r="C1935" s="241" t="s">
        <v>82</v>
      </c>
      <c r="D1935" s="248"/>
      <c r="E1935" s="214"/>
      <c r="F1935" s="167">
        <f t="shared" si="87"/>
        <v>0</v>
      </c>
    </row>
    <row r="1936" spans="1:6" ht="20.25" hidden="1">
      <c r="A1936" s="219"/>
      <c r="B1936" s="220" t="s">
        <v>83</v>
      </c>
      <c r="C1936" s="241" t="s">
        <v>84</v>
      </c>
      <c r="D1936" s="248"/>
      <c r="E1936" s="214"/>
      <c r="F1936" s="167">
        <f t="shared" si="87"/>
        <v>0</v>
      </c>
    </row>
    <row r="1937" spans="1:6" ht="20.25" hidden="1">
      <c r="A1937" s="219"/>
      <c r="B1937" s="220" t="s">
        <v>94</v>
      </c>
      <c r="C1937" s="241" t="s">
        <v>86</v>
      </c>
      <c r="D1937" s="248"/>
      <c r="E1937" s="214"/>
      <c r="F1937" s="167">
        <f t="shared" si="87"/>
        <v>0</v>
      </c>
    </row>
    <row r="1938" spans="1:6" ht="20.25" hidden="1">
      <c r="A1938" s="219"/>
      <c r="B1938" s="220" t="s">
        <v>87</v>
      </c>
      <c r="C1938" s="241" t="s">
        <v>88</v>
      </c>
      <c r="D1938" s="248"/>
      <c r="E1938" s="214"/>
      <c r="F1938" s="167">
        <f t="shared" si="87"/>
        <v>0</v>
      </c>
    </row>
    <row r="1939" spans="1:6" ht="20.25" hidden="1">
      <c r="A1939" s="526" t="s">
        <v>268</v>
      </c>
      <c r="B1939" s="529"/>
      <c r="C1939" s="241" t="s">
        <v>269</v>
      </c>
      <c r="D1939" s="248"/>
      <c r="E1939" s="214"/>
      <c r="F1939" s="167">
        <f t="shared" si="87"/>
        <v>0</v>
      </c>
    </row>
    <row r="1940" spans="1:6" ht="20.25" hidden="1">
      <c r="A1940" s="215"/>
      <c r="B1940" s="220"/>
      <c r="C1940" s="224">
        <v>79</v>
      </c>
      <c r="D1940" s="248"/>
      <c r="E1940" s="214"/>
      <c r="F1940" s="167">
        <f t="shared" si="87"/>
        <v>0</v>
      </c>
    </row>
    <row r="1941" spans="1:6" ht="20.25" hidden="1">
      <c r="A1941" s="219"/>
      <c r="B1941" s="220"/>
      <c r="C1941" s="224">
        <v>81</v>
      </c>
      <c r="D1941" s="248"/>
      <c r="E1941" s="214"/>
      <c r="F1941" s="167">
        <f t="shared" si="87"/>
        <v>0</v>
      </c>
    </row>
    <row r="1942" spans="1:6" ht="20.25" hidden="1">
      <c r="A1942" s="206" t="s">
        <v>287</v>
      </c>
      <c r="B1942" s="220"/>
      <c r="C1942" s="224" t="s">
        <v>279</v>
      </c>
      <c r="D1942" s="248"/>
      <c r="E1942" s="214"/>
      <c r="F1942" s="167">
        <f t="shared" si="87"/>
        <v>0</v>
      </c>
    </row>
    <row r="1943" spans="1:6" ht="20.25" hidden="1">
      <c r="A1943" s="206" t="s">
        <v>629</v>
      </c>
      <c r="B1943" s="220"/>
      <c r="C1943" s="224" t="s">
        <v>602</v>
      </c>
      <c r="D1943" s="248"/>
      <c r="E1943" s="214"/>
      <c r="F1943" s="167">
        <f t="shared" si="87"/>
        <v>0</v>
      </c>
    </row>
    <row r="1944" spans="1:6" ht="20.25" hidden="1">
      <c r="A1944" s="206"/>
      <c r="B1944" s="220" t="s">
        <v>318</v>
      </c>
      <c r="C1944" s="224">
        <v>85</v>
      </c>
      <c r="D1944" s="378">
        <f>D1945</f>
        <v>0</v>
      </c>
      <c r="E1944" s="415">
        <f>E1945</f>
        <v>0</v>
      </c>
      <c r="F1944" s="167">
        <f t="shared" si="87"/>
        <v>0</v>
      </c>
    </row>
    <row r="1945" spans="1:6" ht="20.25" hidden="1">
      <c r="A1945" s="206"/>
      <c r="B1945" s="220" t="s">
        <v>311</v>
      </c>
      <c r="C1945" s="224" t="s">
        <v>312</v>
      </c>
      <c r="D1945" s="248"/>
      <c r="E1945" s="214"/>
      <c r="F1945" s="167">
        <f t="shared" si="87"/>
        <v>0</v>
      </c>
    </row>
    <row r="1946" spans="1:6" ht="20.25" hidden="1">
      <c r="A1946" s="242"/>
      <c r="B1946" s="243"/>
      <c r="C1946" s="224"/>
      <c r="D1946" s="248"/>
      <c r="E1946" s="214"/>
      <c r="F1946" s="167">
        <f t="shared" si="87"/>
        <v>0</v>
      </c>
    </row>
    <row r="1947" spans="1:6" ht="20.25">
      <c r="A1947" s="244" t="s">
        <v>95</v>
      </c>
      <c r="B1947" s="245"/>
      <c r="C1947" s="224" t="s">
        <v>96</v>
      </c>
      <c r="D1947" s="378">
        <f>D1948</f>
        <v>404</v>
      </c>
      <c r="E1947" s="415">
        <f>E1948</f>
        <v>0</v>
      </c>
      <c r="F1947" s="167">
        <f t="shared" si="87"/>
        <v>404</v>
      </c>
    </row>
    <row r="1948" spans="1:6" ht="20.25">
      <c r="A1948" s="244"/>
      <c r="B1948" s="475" t="s">
        <v>97</v>
      </c>
      <c r="C1948" s="224" t="s">
        <v>631</v>
      </c>
      <c r="D1948" s="248">
        <f>401+3</f>
        <v>404</v>
      </c>
      <c r="E1948" s="214"/>
      <c r="F1948" s="167">
        <f t="shared" si="87"/>
        <v>404</v>
      </c>
    </row>
    <row r="1949" spans="1:6" ht="20.25" hidden="1">
      <c r="A1949" s="246"/>
      <c r="B1949" s="474"/>
      <c r="C1949" s="224"/>
      <c r="D1949" s="248"/>
      <c r="E1949" s="214"/>
      <c r="F1949" s="167">
        <f t="shared" si="87"/>
        <v>0</v>
      </c>
    </row>
    <row r="1950" spans="1:6" ht="20.25">
      <c r="A1950" s="206"/>
      <c r="B1950" s="209" t="s">
        <v>98</v>
      </c>
      <c r="C1950" s="202" t="s">
        <v>563</v>
      </c>
      <c r="D1950" s="350">
        <f>D1980+D1981+D1982+D1983+D1984</f>
        <v>210</v>
      </c>
      <c r="E1950" s="409">
        <f>E1980+E1981+E1982+E1983+E1984</f>
        <v>0</v>
      </c>
      <c r="F1950" s="167">
        <f t="shared" si="87"/>
        <v>210</v>
      </c>
    </row>
    <row r="1951" spans="1:6" ht="20.25">
      <c r="A1951" s="247" t="s">
        <v>99</v>
      </c>
      <c r="B1951" s="474"/>
      <c r="C1951" s="235" t="s">
        <v>49</v>
      </c>
      <c r="D1951" s="367">
        <f>D1952+D1953+D1954+D1956+D1960</f>
        <v>0</v>
      </c>
      <c r="E1951" s="414">
        <f>E1952+E1953+E1954+E1956+E1960</f>
        <v>0</v>
      </c>
      <c r="F1951" s="167">
        <f t="shared" si="87"/>
        <v>0</v>
      </c>
    </row>
    <row r="1952" spans="1:6" ht="20.25" hidden="1">
      <c r="A1952" s="204" t="s">
        <v>561</v>
      </c>
      <c r="B1952" s="474"/>
      <c r="C1952" s="235">
        <v>10</v>
      </c>
      <c r="D1952" s="248"/>
      <c r="E1952" s="214"/>
      <c r="F1952" s="167">
        <f t="shared" si="87"/>
        <v>0</v>
      </c>
    </row>
    <row r="1953" spans="1:6" ht="20.25" hidden="1">
      <c r="A1953" s="206" t="s">
        <v>562</v>
      </c>
      <c r="B1953" s="474"/>
      <c r="C1953" s="224">
        <v>20</v>
      </c>
      <c r="D1953" s="248"/>
      <c r="E1953" s="214"/>
      <c r="F1953" s="167">
        <f t="shared" si="87"/>
        <v>0</v>
      </c>
    </row>
    <row r="1954" spans="1:6" ht="20.25" hidden="1">
      <c r="A1954" s="237" t="s">
        <v>245</v>
      </c>
      <c r="B1954" s="474"/>
      <c r="C1954" s="224">
        <v>50</v>
      </c>
      <c r="D1954" s="248"/>
      <c r="E1954" s="214"/>
      <c r="F1954" s="167">
        <f t="shared" si="87"/>
        <v>0</v>
      </c>
    </row>
    <row r="1955" spans="1:6" ht="20.25" hidden="1">
      <c r="A1955" s="215"/>
      <c r="B1955" s="474"/>
      <c r="C1955" s="224" t="s">
        <v>247</v>
      </c>
      <c r="D1955" s="248"/>
      <c r="E1955" s="214"/>
      <c r="F1955" s="167">
        <f t="shared" si="87"/>
        <v>0</v>
      </c>
    </row>
    <row r="1956" spans="1:6" ht="20.25" hidden="1">
      <c r="A1956" s="219" t="s">
        <v>54</v>
      </c>
      <c r="B1956" s="474"/>
      <c r="C1956" s="235" t="s">
        <v>592</v>
      </c>
      <c r="D1956" s="248"/>
      <c r="E1956" s="214"/>
      <c r="F1956" s="167">
        <f t="shared" si="87"/>
        <v>0</v>
      </c>
    </row>
    <row r="1957" spans="1:6" ht="20.25" hidden="1">
      <c r="A1957" s="219" t="s">
        <v>55</v>
      </c>
      <c r="B1957" s="474"/>
      <c r="C1957" s="235" t="s">
        <v>56</v>
      </c>
      <c r="D1957" s="248"/>
      <c r="E1957" s="214"/>
      <c r="F1957" s="167">
        <f t="shared" si="87"/>
        <v>0</v>
      </c>
    </row>
    <row r="1958" spans="1:6" ht="20.25" hidden="1">
      <c r="A1958" s="215"/>
      <c r="B1958" s="222" t="s">
        <v>100</v>
      </c>
      <c r="C1958" s="235" t="s">
        <v>58</v>
      </c>
      <c r="D1958" s="248"/>
      <c r="E1958" s="214"/>
      <c r="F1958" s="167">
        <f t="shared" si="87"/>
        <v>0</v>
      </c>
    </row>
    <row r="1959" spans="1:6" ht="37.5" hidden="1" customHeight="1">
      <c r="A1959" s="215"/>
      <c r="B1959" s="222" t="s">
        <v>361</v>
      </c>
      <c r="C1959" s="224" t="s">
        <v>254</v>
      </c>
      <c r="D1959" s="248"/>
      <c r="E1959" s="214"/>
      <c r="F1959" s="167">
        <f t="shared" si="87"/>
        <v>0</v>
      </c>
    </row>
    <row r="1960" spans="1:6" ht="20.25" hidden="1">
      <c r="A1960" s="215"/>
      <c r="B1960" s="460"/>
      <c r="C1960" s="235">
        <v>55</v>
      </c>
      <c r="D1960" s="248"/>
      <c r="E1960" s="214"/>
      <c r="F1960" s="167">
        <f t="shared" si="87"/>
        <v>0</v>
      </c>
    </row>
    <row r="1961" spans="1:6" ht="20.25" hidden="1">
      <c r="A1961" s="219" t="s">
        <v>160</v>
      </c>
      <c r="B1961" s="460"/>
      <c r="C1961" s="224" t="s">
        <v>67</v>
      </c>
      <c r="D1961" s="248"/>
      <c r="E1961" s="214"/>
      <c r="F1961" s="167">
        <f t="shared" si="87"/>
        <v>0</v>
      </c>
    </row>
    <row r="1962" spans="1:6" ht="20.25" hidden="1">
      <c r="A1962" s="219"/>
      <c r="B1962" s="220" t="s">
        <v>362</v>
      </c>
      <c r="C1962" s="224" t="s">
        <v>256</v>
      </c>
      <c r="D1962" s="248"/>
      <c r="E1962" s="214"/>
      <c r="F1962" s="167">
        <f t="shared" si="87"/>
        <v>0</v>
      </c>
    </row>
    <row r="1963" spans="1:6" ht="20.25" hidden="1">
      <c r="A1963" s="219"/>
      <c r="B1963" s="220" t="s">
        <v>285</v>
      </c>
      <c r="C1963" s="224" t="s">
        <v>258</v>
      </c>
      <c r="D1963" s="248"/>
      <c r="E1963" s="214"/>
      <c r="F1963" s="167">
        <f t="shared" si="87"/>
        <v>0</v>
      </c>
    </row>
    <row r="1964" spans="1:6" ht="20.25" hidden="1">
      <c r="A1964" s="223"/>
      <c r="B1964" s="220" t="s">
        <v>259</v>
      </c>
      <c r="C1964" s="224" t="s">
        <v>260</v>
      </c>
      <c r="D1964" s="248"/>
      <c r="E1964" s="214"/>
      <c r="F1964" s="167">
        <f t="shared" si="87"/>
        <v>0</v>
      </c>
    </row>
    <row r="1965" spans="1:6" ht="20.25" hidden="1">
      <c r="A1965" s="223"/>
      <c r="B1965" s="218" t="s">
        <v>624</v>
      </c>
      <c r="C1965" s="224" t="s">
        <v>625</v>
      </c>
      <c r="D1965" s="248"/>
      <c r="E1965" s="214"/>
      <c r="F1965" s="167">
        <f t="shared" si="87"/>
        <v>0</v>
      </c>
    </row>
    <row r="1966" spans="1:6" ht="20.25">
      <c r="A1966" s="261" t="s">
        <v>918</v>
      </c>
      <c r="B1966" s="474"/>
      <c r="C1966" s="224">
        <v>70</v>
      </c>
      <c r="D1966" s="248">
        <f>D1967</f>
        <v>210</v>
      </c>
      <c r="E1966" s="214">
        <f>E1967</f>
        <v>0</v>
      </c>
      <c r="F1966" s="167">
        <f t="shared" si="87"/>
        <v>210</v>
      </c>
    </row>
    <row r="1967" spans="1:6" ht="20.25">
      <c r="A1967" s="226" t="s">
        <v>1019</v>
      </c>
      <c r="B1967" s="474"/>
      <c r="C1967" s="224">
        <v>71</v>
      </c>
      <c r="D1967" s="248">
        <v>210</v>
      </c>
      <c r="E1967" s="214"/>
      <c r="F1967" s="167">
        <f t="shared" si="87"/>
        <v>210</v>
      </c>
    </row>
    <row r="1968" spans="1:6" ht="20.25" hidden="1">
      <c r="A1968" s="219" t="s">
        <v>110</v>
      </c>
      <c r="B1968" s="474"/>
      <c r="C1968" s="224" t="s">
        <v>80</v>
      </c>
      <c r="D1968" s="248"/>
      <c r="E1968" s="214"/>
      <c r="F1968" s="167">
        <f t="shared" si="87"/>
        <v>0</v>
      </c>
    </row>
    <row r="1969" spans="1:6" ht="20.25" hidden="1">
      <c r="A1969" s="219"/>
      <c r="B1969" s="218" t="s">
        <v>81</v>
      </c>
      <c r="C1969" s="241" t="s">
        <v>82</v>
      </c>
      <c r="D1969" s="248"/>
      <c r="E1969" s="214"/>
      <c r="F1969" s="167">
        <f t="shared" si="87"/>
        <v>0</v>
      </c>
    </row>
    <row r="1970" spans="1:6" ht="20.25" hidden="1">
      <c r="A1970" s="219"/>
      <c r="B1970" s="220" t="s">
        <v>83</v>
      </c>
      <c r="C1970" s="241" t="s">
        <v>84</v>
      </c>
      <c r="D1970" s="248"/>
      <c r="E1970" s="214"/>
      <c r="F1970" s="167">
        <f t="shared" si="87"/>
        <v>0</v>
      </c>
    </row>
    <row r="1971" spans="1:6" ht="20.25" hidden="1">
      <c r="A1971" s="219"/>
      <c r="B1971" s="220" t="s">
        <v>94</v>
      </c>
      <c r="C1971" s="241" t="s">
        <v>86</v>
      </c>
      <c r="D1971" s="248"/>
      <c r="E1971" s="214"/>
      <c r="F1971" s="167">
        <f t="shared" si="87"/>
        <v>0</v>
      </c>
    </row>
    <row r="1972" spans="1:6" ht="20.25" hidden="1">
      <c r="A1972" s="219"/>
      <c r="B1972" s="220" t="s">
        <v>87</v>
      </c>
      <c r="C1972" s="241" t="s">
        <v>88</v>
      </c>
      <c r="D1972" s="248"/>
      <c r="E1972" s="214"/>
      <c r="F1972" s="167">
        <f t="shared" si="87"/>
        <v>0</v>
      </c>
    </row>
    <row r="1973" spans="1:6" ht="20.25" hidden="1">
      <c r="A1973" s="526" t="s">
        <v>268</v>
      </c>
      <c r="B1973" s="529"/>
      <c r="C1973" s="241" t="s">
        <v>269</v>
      </c>
      <c r="D1973" s="248"/>
      <c r="E1973" s="214"/>
      <c r="F1973" s="167">
        <f t="shared" si="87"/>
        <v>0</v>
      </c>
    </row>
    <row r="1974" spans="1:6" ht="20.25" hidden="1">
      <c r="A1974" s="215"/>
      <c r="B1974" s="220"/>
      <c r="C1974" s="224">
        <v>79</v>
      </c>
      <c r="D1974" s="248"/>
      <c r="E1974" s="214"/>
      <c r="F1974" s="167">
        <f t="shared" si="87"/>
        <v>0</v>
      </c>
    </row>
    <row r="1975" spans="1:6" ht="20.25" hidden="1">
      <c r="A1975" s="219"/>
      <c r="B1975" s="220"/>
      <c r="C1975" s="224">
        <v>81</v>
      </c>
      <c r="D1975" s="248"/>
      <c r="E1975" s="214"/>
      <c r="F1975" s="167">
        <f t="shared" si="87"/>
        <v>0</v>
      </c>
    </row>
    <row r="1976" spans="1:6" ht="20.25" hidden="1">
      <c r="A1976" s="206" t="s">
        <v>287</v>
      </c>
      <c r="B1976" s="220"/>
      <c r="C1976" s="224" t="s">
        <v>279</v>
      </c>
      <c r="D1976" s="248"/>
      <c r="E1976" s="214"/>
      <c r="F1976" s="167">
        <f t="shared" si="87"/>
        <v>0</v>
      </c>
    </row>
    <row r="1977" spans="1:6" ht="20.25" hidden="1">
      <c r="A1977" s="206"/>
      <c r="B1977" s="220" t="s">
        <v>318</v>
      </c>
      <c r="C1977" s="224">
        <v>85</v>
      </c>
      <c r="D1977" s="248"/>
      <c r="E1977" s="214"/>
      <c r="F1977" s="167">
        <f t="shared" si="87"/>
        <v>0</v>
      </c>
    </row>
    <row r="1978" spans="1:6" ht="20.25" hidden="1">
      <c r="A1978" s="206"/>
      <c r="B1978" s="220" t="s">
        <v>311</v>
      </c>
      <c r="C1978" s="224" t="s">
        <v>312</v>
      </c>
      <c r="D1978" s="248"/>
      <c r="E1978" s="214"/>
      <c r="F1978" s="167">
        <f t="shared" si="87"/>
        <v>0</v>
      </c>
    </row>
    <row r="1979" spans="1:6" ht="20.25" hidden="1">
      <c r="A1979" s="242"/>
      <c r="B1979" s="243"/>
      <c r="C1979" s="224"/>
      <c r="D1979" s="248"/>
      <c r="E1979" s="214"/>
      <c r="F1979" s="167">
        <f t="shared" si="87"/>
        <v>0</v>
      </c>
    </row>
    <row r="1980" spans="1:6" ht="20.25" hidden="1">
      <c r="A1980" s="249" t="s">
        <v>363</v>
      </c>
      <c r="B1980" s="245"/>
      <c r="C1980" s="224" t="s">
        <v>364</v>
      </c>
      <c r="D1980" s="248"/>
      <c r="E1980" s="214"/>
      <c r="F1980" s="167">
        <f t="shared" ref="F1980:F2044" si="88">D1980+E1980</f>
        <v>0</v>
      </c>
    </row>
    <row r="1981" spans="1:6" ht="20.25" hidden="1">
      <c r="A1981" s="236" t="s">
        <v>365</v>
      </c>
      <c r="B1981" s="245"/>
      <c r="C1981" s="224" t="s">
        <v>366</v>
      </c>
      <c r="D1981" s="248"/>
      <c r="E1981" s="214"/>
      <c r="F1981" s="167">
        <f t="shared" si="88"/>
        <v>0</v>
      </c>
    </row>
    <row r="1982" spans="1:6" ht="18" hidden="1" customHeight="1">
      <c r="A1982" s="537" t="s">
        <v>367</v>
      </c>
      <c r="B1982" s="529"/>
      <c r="C1982" s="224" t="s">
        <v>368</v>
      </c>
      <c r="D1982" s="248"/>
      <c r="E1982" s="214"/>
      <c r="F1982" s="167">
        <f t="shared" si="88"/>
        <v>0</v>
      </c>
    </row>
    <row r="1983" spans="1:6" ht="20.25">
      <c r="A1983" s="236" t="s">
        <v>564</v>
      </c>
      <c r="B1983" s="245"/>
      <c r="C1983" s="224" t="s">
        <v>565</v>
      </c>
      <c r="D1983" s="248">
        <v>210</v>
      </c>
      <c r="E1983" s="214"/>
      <c r="F1983" s="167">
        <f t="shared" si="88"/>
        <v>210</v>
      </c>
    </row>
    <row r="1984" spans="1:6" ht="20.25" hidden="1">
      <c r="A1984" s="244" t="s">
        <v>369</v>
      </c>
      <c r="B1984" s="218"/>
      <c r="C1984" s="224" t="s">
        <v>370</v>
      </c>
      <c r="D1984" s="248"/>
      <c r="E1984" s="214"/>
      <c r="F1984" s="167">
        <f t="shared" si="88"/>
        <v>0</v>
      </c>
    </row>
    <row r="1985" spans="1:6" ht="20.25" hidden="1">
      <c r="A1985" s="250"/>
      <c r="B1985" s="243"/>
      <c r="C1985" s="224"/>
      <c r="D1985" s="248"/>
      <c r="E1985" s="214"/>
      <c r="F1985" s="167">
        <f t="shared" si="88"/>
        <v>0</v>
      </c>
    </row>
    <row r="1986" spans="1:6" ht="20.25" hidden="1">
      <c r="A1986" s="251"/>
      <c r="B1986" s="252" t="s">
        <v>101</v>
      </c>
      <c r="C1986" s="202" t="s">
        <v>566</v>
      </c>
      <c r="D1986" s="350">
        <f>D1987</f>
        <v>0</v>
      </c>
      <c r="E1986" s="409">
        <f>E1987</f>
        <v>0</v>
      </c>
      <c r="F1986" s="167">
        <f t="shared" si="88"/>
        <v>0</v>
      </c>
    </row>
    <row r="1987" spans="1:6" ht="20.25" hidden="1">
      <c r="A1987" s="253" t="s">
        <v>916</v>
      </c>
      <c r="B1987" s="245"/>
      <c r="C1987" s="235" t="s">
        <v>49</v>
      </c>
      <c r="D1987" s="367">
        <f>D1988+D1990</f>
        <v>0</v>
      </c>
      <c r="E1987" s="414">
        <f>E1988+E1990</f>
        <v>0</v>
      </c>
      <c r="F1987" s="167">
        <f t="shared" si="88"/>
        <v>0</v>
      </c>
    </row>
    <row r="1988" spans="1:6" ht="20.25" hidden="1">
      <c r="A1988" s="206" t="s">
        <v>371</v>
      </c>
      <c r="B1988" s="474"/>
      <c r="C1988" s="224">
        <v>20</v>
      </c>
      <c r="D1988" s="248"/>
      <c r="E1988" s="214"/>
      <c r="F1988" s="167">
        <f t="shared" si="88"/>
        <v>0</v>
      </c>
    </row>
    <row r="1989" spans="1:6" ht="20.25" hidden="1">
      <c r="A1989" s="253"/>
      <c r="B1989" s="245"/>
      <c r="C1989" s="224" t="s">
        <v>241</v>
      </c>
      <c r="D1989" s="248"/>
      <c r="E1989" s="214"/>
      <c r="F1989" s="167">
        <f t="shared" si="88"/>
        <v>0</v>
      </c>
    </row>
    <row r="1990" spans="1:6" ht="20.25" hidden="1">
      <c r="A1990" s="253" t="s">
        <v>615</v>
      </c>
      <c r="B1990" s="245"/>
      <c r="C1990" s="235">
        <v>30</v>
      </c>
      <c r="D1990" s="367">
        <f>D1991+D1992+D1993</f>
        <v>0</v>
      </c>
      <c r="E1990" s="414">
        <f>E1991+E1992+E1993</f>
        <v>0</v>
      </c>
      <c r="F1990" s="167">
        <f t="shared" si="88"/>
        <v>0</v>
      </c>
    </row>
    <row r="1991" spans="1:6" ht="20.25" hidden="1">
      <c r="A1991" s="206" t="s">
        <v>102</v>
      </c>
      <c r="B1991" s="474"/>
      <c r="C1991" s="254" t="s">
        <v>51</v>
      </c>
      <c r="D1991" s="248"/>
      <c r="E1991" s="214"/>
      <c r="F1991" s="167">
        <f t="shared" si="88"/>
        <v>0</v>
      </c>
    </row>
    <row r="1992" spans="1:6" ht="20.25" hidden="1">
      <c r="A1992" s="206" t="s">
        <v>372</v>
      </c>
      <c r="B1992" s="474"/>
      <c r="C1992" s="235" t="s">
        <v>513</v>
      </c>
      <c r="D1992" s="248"/>
      <c r="E1992" s="214"/>
      <c r="F1992" s="167">
        <f t="shared" si="88"/>
        <v>0</v>
      </c>
    </row>
    <row r="1993" spans="1:6" ht="20.25" hidden="1">
      <c r="A1993" s="216" t="s">
        <v>373</v>
      </c>
      <c r="B1993" s="474"/>
      <c r="C1993" s="235" t="s">
        <v>244</v>
      </c>
      <c r="D1993" s="248"/>
      <c r="E1993" s="214"/>
      <c r="F1993" s="167">
        <f t="shared" si="88"/>
        <v>0</v>
      </c>
    </row>
    <row r="1994" spans="1:6" ht="20.25" hidden="1">
      <c r="A1994" s="216"/>
      <c r="B1994" s="474"/>
      <c r="C1994" s="235"/>
      <c r="D1994" s="248"/>
      <c r="E1994" s="214"/>
      <c r="F1994" s="167">
        <f t="shared" si="88"/>
        <v>0</v>
      </c>
    </row>
    <row r="1995" spans="1:6" ht="20.25" hidden="1">
      <c r="A1995" s="255"/>
      <c r="B1995" s="256" t="s">
        <v>103</v>
      </c>
      <c r="C1995" s="202" t="s">
        <v>104</v>
      </c>
      <c r="D1995" s="248"/>
      <c r="E1995" s="214"/>
      <c r="F1995" s="167">
        <f t="shared" si="88"/>
        <v>0</v>
      </c>
    </row>
    <row r="1996" spans="1:6" ht="20.25" hidden="1">
      <c r="A1996" s="247" t="s">
        <v>916</v>
      </c>
      <c r="B1996" s="474"/>
      <c r="C1996" s="235" t="s">
        <v>49</v>
      </c>
      <c r="D1996" s="248"/>
      <c r="E1996" s="214"/>
      <c r="F1996" s="167">
        <f t="shared" si="88"/>
        <v>0</v>
      </c>
    </row>
    <row r="1997" spans="1:6" ht="20.25" hidden="1">
      <c r="A1997" s="219" t="s">
        <v>54</v>
      </c>
      <c r="B1997" s="474"/>
      <c r="C1997" s="235" t="s">
        <v>592</v>
      </c>
      <c r="D1997" s="248"/>
      <c r="E1997" s="214"/>
      <c r="F1997" s="167">
        <f t="shared" si="88"/>
        <v>0</v>
      </c>
    </row>
    <row r="1998" spans="1:6" ht="20.25" hidden="1">
      <c r="A1998" s="219"/>
      <c r="B1998" s="474" t="s">
        <v>55</v>
      </c>
      <c r="C1998" s="224" t="s">
        <v>56</v>
      </c>
      <c r="D1998" s="248"/>
      <c r="E1998" s="214"/>
      <c r="F1998" s="167">
        <f t="shared" si="88"/>
        <v>0</v>
      </c>
    </row>
    <row r="1999" spans="1:6" ht="36" hidden="1">
      <c r="A1999" s="257"/>
      <c r="B1999" s="222" t="s">
        <v>374</v>
      </c>
      <c r="C1999" s="224" t="s">
        <v>249</v>
      </c>
      <c r="D1999" s="248"/>
      <c r="E1999" s="214"/>
      <c r="F1999" s="167">
        <f t="shared" si="88"/>
        <v>0</v>
      </c>
    </row>
    <row r="2000" spans="1:6" ht="36" hidden="1">
      <c r="A2000" s="257"/>
      <c r="B2000" s="222" t="s">
        <v>375</v>
      </c>
      <c r="C2000" s="224" t="s">
        <v>251</v>
      </c>
      <c r="D2000" s="248"/>
      <c r="E2000" s="214"/>
      <c r="F2000" s="167">
        <f t="shared" si="88"/>
        <v>0</v>
      </c>
    </row>
    <row r="2001" spans="1:6" ht="36" hidden="1">
      <c r="A2001" s="257"/>
      <c r="B2001" s="220" t="s">
        <v>106</v>
      </c>
      <c r="C2001" s="224" t="s">
        <v>62</v>
      </c>
      <c r="D2001" s="248"/>
      <c r="E2001" s="214"/>
      <c r="F2001" s="167">
        <f t="shared" si="88"/>
        <v>0</v>
      </c>
    </row>
    <row r="2002" spans="1:6" ht="20.25" hidden="1">
      <c r="A2002" s="242"/>
      <c r="B2002" s="243"/>
      <c r="C2002" s="224"/>
      <c r="D2002" s="248"/>
      <c r="E2002" s="214"/>
      <c r="F2002" s="167">
        <f t="shared" si="88"/>
        <v>0</v>
      </c>
    </row>
    <row r="2003" spans="1:6" ht="18" hidden="1" customHeight="1">
      <c r="A2003" s="537" t="s">
        <v>376</v>
      </c>
      <c r="B2003" s="529"/>
      <c r="C2003" s="224" t="s">
        <v>377</v>
      </c>
      <c r="D2003" s="248"/>
      <c r="E2003" s="214"/>
      <c r="F2003" s="167">
        <f t="shared" si="88"/>
        <v>0</v>
      </c>
    </row>
    <row r="2004" spans="1:6" ht="18" hidden="1" customHeight="1">
      <c r="A2004" s="537" t="s">
        <v>378</v>
      </c>
      <c r="B2004" s="529"/>
      <c r="C2004" s="224" t="s">
        <v>379</v>
      </c>
      <c r="D2004" s="248"/>
      <c r="E2004" s="214"/>
      <c r="F2004" s="167">
        <f t="shared" si="88"/>
        <v>0</v>
      </c>
    </row>
    <row r="2005" spans="1:6" ht="18" hidden="1" customHeight="1">
      <c r="A2005" s="537" t="s">
        <v>107</v>
      </c>
      <c r="B2005" s="529"/>
      <c r="C2005" s="224" t="s">
        <v>634</v>
      </c>
      <c r="D2005" s="248"/>
      <c r="E2005" s="214"/>
      <c r="F2005" s="167">
        <f t="shared" si="88"/>
        <v>0</v>
      </c>
    </row>
    <row r="2006" spans="1:6" ht="20.25" hidden="1">
      <c r="A2006" s="246"/>
      <c r="B2006" s="474"/>
      <c r="C2006" s="224"/>
      <c r="D2006" s="248"/>
      <c r="E2006" s="214"/>
      <c r="F2006" s="167">
        <f t="shared" si="88"/>
        <v>0</v>
      </c>
    </row>
    <row r="2007" spans="1:6" ht="20.25" hidden="1">
      <c r="A2007" s="258"/>
      <c r="B2007" s="217"/>
      <c r="C2007" s="224" t="s">
        <v>108</v>
      </c>
      <c r="D2007" s="248"/>
      <c r="E2007" s="214"/>
      <c r="F2007" s="167">
        <f t="shared" si="88"/>
        <v>0</v>
      </c>
    </row>
    <row r="2008" spans="1:6" ht="20.25" hidden="1">
      <c r="A2008" s="255"/>
      <c r="B2008" s="259"/>
      <c r="C2008" s="224" t="s">
        <v>380</v>
      </c>
      <c r="D2008" s="248"/>
      <c r="E2008" s="214"/>
      <c r="F2008" s="167">
        <f t="shared" si="88"/>
        <v>0</v>
      </c>
    </row>
    <row r="2009" spans="1:6" ht="20.25" hidden="1">
      <c r="A2009" s="231"/>
      <c r="B2009" s="474"/>
      <c r="C2009" s="235" t="s">
        <v>49</v>
      </c>
      <c r="D2009" s="248"/>
      <c r="E2009" s="214"/>
      <c r="F2009" s="167">
        <f t="shared" si="88"/>
        <v>0</v>
      </c>
    </row>
    <row r="2010" spans="1:6" ht="20.25" hidden="1">
      <c r="A2010" s="246"/>
      <c r="B2010" s="474"/>
      <c r="C2010" s="235">
        <v>10</v>
      </c>
      <c r="D2010" s="248"/>
      <c r="E2010" s="214"/>
      <c r="F2010" s="167">
        <f t="shared" si="88"/>
        <v>0</v>
      </c>
    </row>
    <row r="2011" spans="1:6" ht="20.25" hidden="1">
      <c r="A2011" s="246"/>
      <c r="B2011" s="474"/>
      <c r="C2011" s="224">
        <v>20</v>
      </c>
      <c r="D2011" s="248"/>
      <c r="E2011" s="214"/>
      <c r="F2011" s="167">
        <f t="shared" si="88"/>
        <v>0</v>
      </c>
    </row>
    <row r="2012" spans="1:6" ht="20.25" hidden="1">
      <c r="A2012" s="231"/>
      <c r="B2012" s="474"/>
      <c r="C2012" s="224">
        <v>70</v>
      </c>
      <c r="D2012" s="248"/>
      <c r="E2012" s="214"/>
      <c r="F2012" s="167">
        <f t="shared" si="88"/>
        <v>0</v>
      </c>
    </row>
    <row r="2013" spans="1:6" ht="20.25" hidden="1">
      <c r="A2013" s="238"/>
      <c r="B2013" s="474"/>
      <c r="C2013" s="224">
        <v>71</v>
      </c>
      <c r="D2013" s="248"/>
      <c r="E2013" s="214"/>
      <c r="F2013" s="167">
        <f t="shared" si="88"/>
        <v>0</v>
      </c>
    </row>
    <row r="2014" spans="1:6" ht="20.25" hidden="1">
      <c r="A2014" s="219" t="s">
        <v>110</v>
      </c>
      <c r="B2014" s="474"/>
      <c r="C2014" s="224" t="s">
        <v>80</v>
      </c>
      <c r="D2014" s="248"/>
      <c r="E2014" s="214"/>
      <c r="F2014" s="167">
        <f t="shared" si="88"/>
        <v>0</v>
      </c>
    </row>
    <row r="2015" spans="1:6" ht="20.25" hidden="1">
      <c r="A2015" s="219"/>
      <c r="B2015" s="218" t="s">
        <v>81</v>
      </c>
      <c r="C2015" s="241" t="s">
        <v>82</v>
      </c>
      <c r="D2015" s="248"/>
      <c r="E2015" s="214"/>
      <c r="F2015" s="167">
        <f t="shared" si="88"/>
        <v>0</v>
      </c>
    </row>
    <row r="2016" spans="1:6" ht="20.25" hidden="1">
      <c r="A2016" s="219"/>
      <c r="B2016" s="220" t="s">
        <v>83</v>
      </c>
      <c r="C2016" s="241" t="s">
        <v>84</v>
      </c>
      <c r="D2016" s="248"/>
      <c r="E2016" s="214"/>
      <c r="F2016" s="167">
        <f t="shared" si="88"/>
        <v>0</v>
      </c>
    </row>
    <row r="2017" spans="1:6" ht="20.25" hidden="1">
      <c r="A2017" s="219"/>
      <c r="B2017" s="220" t="s">
        <v>94</v>
      </c>
      <c r="C2017" s="241" t="s">
        <v>86</v>
      </c>
      <c r="D2017" s="248"/>
      <c r="E2017" s="214"/>
      <c r="F2017" s="167">
        <f t="shared" si="88"/>
        <v>0</v>
      </c>
    </row>
    <row r="2018" spans="1:6" ht="20.25" hidden="1">
      <c r="A2018" s="219"/>
      <c r="B2018" s="220" t="s">
        <v>87</v>
      </c>
      <c r="C2018" s="241" t="s">
        <v>88</v>
      </c>
      <c r="D2018" s="248"/>
      <c r="E2018" s="214"/>
      <c r="F2018" s="167">
        <f t="shared" si="88"/>
        <v>0</v>
      </c>
    </row>
    <row r="2019" spans="1:6" ht="20.25" hidden="1">
      <c r="A2019" s="526" t="s">
        <v>268</v>
      </c>
      <c r="B2019" s="529"/>
      <c r="C2019" s="241" t="s">
        <v>269</v>
      </c>
      <c r="D2019" s="248"/>
      <c r="E2019" s="214"/>
      <c r="F2019" s="167">
        <f t="shared" si="88"/>
        <v>0</v>
      </c>
    </row>
    <row r="2020" spans="1:6" ht="20.25" hidden="1">
      <c r="A2020" s="242"/>
      <c r="B2020" s="243"/>
      <c r="C2020" s="224"/>
      <c r="D2020" s="248"/>
      <c r="E2020" s="214"/>
      <c r="F2020" s="167">
        <f t="shared" si="88"/>
        <v>0</v>
      </c>
    </row>
    <row r="2021" spans="1:6" ht="20.25" hidden="1">
      <c r="A2021" s="244" t="s">
        <v>381</v>
      </c>
      <c r="B2021" s="245"/>
      <c r="C2021" s="224" t="s">
        <v>382</v>
      </c>
      <c r="D2021" s="248"/>
      <c r="E2021" s="214"/>
      <c r="F2021" s="167">
        <f t="shared" si="88"/>
        <v>0</v>
      </c>
    </row>
    <row r="2022" spans="1:6" ht="20.25" hidden="1">
      <c r="A2022" s="246"/>
      <c r="B2022" s="474"/>
      <c r="C2022" s="224"/>
      <c r="D2022" s="248"/>
      <c r="E2022" s="214"/>
      <c r="F2022" s="167">
        <f t="shared" si="88"/>
        <v>0</v>
      </c>
    </row>
    <row r="2023" spans="1:6" ht="20.25">
      <c r="A2023" s="255"/>
      <c r="B2023" s="260" t="s">
        <v>109</v>
      </c>
      <c r="C2023" s="202" t="s">
        <v>567</v>
      </c>
      <c r="D2023" s="350">
        <f>D2043+D2045+D2046</f>
        <v>5518</v>
      </c>
      <c r="E2023" s="409">
        <f>E2043+E2045+E2046</f>
        <v>0</v>
      </c>
      <c r="F2023" s="167">
        <f t="shared" si="88"/>
        <v>5518</v>
      </c>
    </row>
    <row r="2024" spans="1:6" ht="20.25">
      <c r="A2024" s="219" t="s">
        <v>917</v>
      </c>
      <c r="B2024" s="474"/>
      <c r="C2024" s="235" t="s">
        <v>49</v>
      </c>
      <c r="D2024" s="367">
        <f>D2025+D2026+D2027+D2030+D2031</f>
        <v>3180</v>
      </c>
      <c r="E2024" s="414">
        <f>E2025+E2026+E2027+E2031</f>
        <v>0</v>
      </c>
      <c r="F2024" s="167">
        <f t="shared" si="88"/>
        <v>3180</v>
      </c>
    </row>
    <row r="2025" spans="1:6" ht="20.25" hidden="1">
      <c r="A2025" s="204" t="s">
        <v>561</v>
      </c>
      <c r="B2025" s="474"/>
      <c r="C2025" s="235">
        <v>10</v>
      </c>
      <c r="D2025" s="248"/>
      <c r="E2025" s="214"/>
      <c r="F2025" s="167">
        <f t="shared" si="88"/>
        <v>0</v>
      </c>
    </row>
    <row r="2026" spans="1:6" ht="20.25" hidden="1">
      <c r="A2026" s="206" t="s">
        <v>562</v>
      </c>
      <c r="B2026" s="474"/>
      <c r="C2026" s="224">
        <v>20</v>
      </c>
      <c r="D2026" s="248"/>
      <c r="E2026" s="214"/>
      <c r="F2026" s="167">
        <f t="shared" si="88"/>
        <v>0</v>
      </c>
    </row>
    <row r="2027" spans="1:6" ht="20.25" hidden="1">
      <c r="A2027" s="219" t="s">
        <v>304</v>
      </c>
      <c r="B2027" s="474"/>
      <c r="C2027" s="235">
        <v>55</v>
      </c>
      <c r="D2027" s="367">
        <f>D2028</f>
        <v>0</v>
      </c>
      <c r="E2027" s="414">
        <f>E2028</f>
        <v>0</v>
      </c>
      <c r="F2027" s="167">
        <f t="shared" si="88"/>
        <v>0</v>
      </c>
    </row>
    <row r="2028" spans="1:6" ht="20.25" hidden="1">
      <c r="A2028" s="215"/>
      <c r="B2028" s="474" t="s">
        <v>348</v>
      </c>
      <c r="C2028" s="224" t="s">
        <v>67</v>
      </c>
      <c r="D2028" s="367">
        <f>D2029</f>
        <v>0</v>
      </c>
      <c r="E2028" s="414">
        <f>E2029</f>
        <v>0</v>
      </c>
      <c r="F2028" s="167">
        <f t="shared" si="88"/>
        <v>0</v>
      </c>
    </row>
    <row r="2029" spans="1:6" ht="20.25" hidden="1">
      <c r="A2029" s="215"/>
      <c r="B2029" s="222" t="s">
        <v>624</v>
      </c>
      <c r="C2029" s="224" t="s">
        <v>625</v>
      </c>
      <c r="D2029" s="248"/>
      <c r="E2029" s="214"/>
      <c r="F2029" s="167">
        <f t="shared" si="88"/>
        <v>0</v>
      </c>
    </row>
    <row r="2030" spans="1:6" ht="20.25" customHeight="1">
      <c r="A2030" s="546" t="s">
        <v>1065</v>
      </c>
      <c r="B2030" s="529"/>
      <c r="C2030" s="224">
        <v>56</v>
      </c>
      <c r="D2030" s="248">
        <v>3180</v>
      </c>
      <c r="E2030" s="214"/>
      <c r="F2030" s="167">
        <f t="shared" si="88"/>
        <v>3180</v>
      </c>
    </row>
    <row r="2031" spans="1:6" ht="34.5" hidden="1" customHeight="1">
      <c r="A2031" s="520" t="s">
        <v>890</v>
      </c>
      <c r="B2031" s="529"/>
      <c r="C2031" s="224">
        <v>58</v>
      </c>
      <c r="D2031" s="248"/>
      <c r="E2031" s="214">
        <v>0</v>
      </c>
      <c r="F2031" s="167">
        <f t="shared" si="88"/>
        <v>0</v>
      </c>
    </row>
    <row r="2032" spans="1:6" ht="20.25">
      <c r="A2032" s="261" t="s">
        <v>918</v>
      </c>
      <c r="B2032" s="474"/>
      <c r="C2032" s="224">
        <v>70</v>
      </c>
      <c r="D2032" s="367">
        <f>D2033</f>
        <v>2338</v>
      </c>
      <c r="E2032" s="414">
        <f>E2033</f>
        <v>0</v>
      </c>
      <c r="F2032" s="167">
        <f t="shared" si="88"/>
        <v>2338</v>
      </c>
    </row>
    <row r="2033" spans="1:6" ht="20.25">
      <c r="A2033" s="226" t="s">
        <v>1017</v>
      </c>
      <c r="B2033" s="474"/>
      <c r="C2033" s="224">
        <v>71</v>
      </c>
      <c r="D2033" s="248">
        <f>338+2000</f>
        <v>2338</v>
      </c>
      <c r="E2033" s="214"/>
      <c r="F2033" s="167">
        <f t="shared" si="88"/>
        <v>2338</v>
      </c>
    </row>
    <row r="2034" spans="1:6" ht="20.25" hidden="1">
      <c r="A2034" s="219" t="s">
        <v>110</v>
      </c>
      <c r="B2034" s="474"/>
      <c r="C2034" s="224" t="s">
        <v>80</v>
      </c>
      <c r="D2034" s="248"/>
      <c r="E2034" s="214"/>
      <c r="F2034" s="167">
        <f t="shared" si="88"/>
        <v>0</v>
      </c>
    </row>
    <row r="2035" spans="1:6" ht="20.25" hidden="1">
      <c r="A2035" s="219"/>
      <c r="B2035" s="218" t="s">
        <v>81</v>
      </c>
      <c r="C2035" s="241" t="s">
        <v>82</v>
      </c>
      <c r="D2035" s="248"/>
      <c r="E2035" s="214"/>
      <c r="F2035" s="167">
        <f t="shared" si="88"/>
        <v>0</v>
      </c>
    </row>
    <row r="2036" spans="1:6" ht="20.25" hidden="1">
      <c r="A2036" s="219"/>
      <c r="B2036" s="220" t="s">
        <v>83</v>
      </c>
      <c r="C2036" s="241" t="s">
        <v>84</v>
      </c>
      <c r="D2036" s="248"/>
      <c r="E2036" s="214"/>
      <c r="F2036" s="167">
        <f t="shared" si="88"/>
        <v>0</v>
      </c>
    </row>
    <row r="2037" spans="1:6" ht="20.25" hidden="1">
      <c r="A2037" s="219"/>
      <c r="B2037" s="220" t="s">
        <v>94</v>
      </c>
      <c r="C2037" s="241" t="s">
        <v>86</v>
      </c>
      <c r="D2037" s="248"/>
      <c r="E2037" s="214"/>
      <c r="F2037" s="167">
        <f t="shared" si="88"/>
        <v>0</v>
      </c>
    </row>
    <row r="2038" spans="1:6" ht="20.25" hidden="1">
      <c r="A2038" s="219"/>
      <c r="B2038" s="220" t="s">
        <v>87</v>
      </c>
      <c r="C2038" s="241" t="s">
        <v>88</v>
      </c>
      <c r="D2038" s="248"/>
      <c r="E2038" s="214"/>
      <c r="F2038" s="167">
        <f t="shared" si="88"/>
        <v>0</v>
      </c>
    </row>
    <row r="2039" spans="1:6" ht="20.25" hidden="1">
      <c r="A2039" s="526" t="s">
        <v>268</v>
      </c>
      <c r="B2039" s="529"/>
      <c r="C2039" s="241" t="s">
        <v>269</v>
      </c>
      <c r="D2039" s="248"/>
      <c r="E2039" s="214"/>
      <c r="F2039" s="167">
        <f t="shared" si="88"/>
        <v>0</v>
      </c>
    </row>
    <row r="2040" spans="1:6" ht="20.25" hidden="1">
      <c r="A2040" s="459"/>
      <c r="B2040" s="220" t="s">
        <v>318</v>
      </c>
      <c r="C2040" s="224">
        <v>85</v>
      </c>
      <c r="D2040" s="367">
        <f>D2041</f>
        <v>0</v>
      </c>
      <c r="E2040" s="414">
        <f>E2041</f>
        <v>0</v>
      </c>
      <c r="F2040" s="167">
        <f t="shared" si="88"/>
        <v>0</v>
      </c>
    </row>
    <row r="2041" spans="1:6" ht="20.25" hidden="1">
      <c r="A2041" s="459"/>
      <c r="B2041" s="220" t="s">
        <v>311</v>
      </c>
      <c r="C2041" s="224" t="s">
        <v>312</v>
      </c>
      <c r="D2041" s="248"/>
      <c r="E2041" s="214"/>
      <c r="F2041" s="167">
        <f t="shared" si="88"/>
        <v>0</v>
      </c>
    </row>
    <row r="2042" spans="1:6" ht="20.25" hidden="1">
      <c r="A2042" s="242"/>
      <c r="B2042" s="243"/>
      <c r="C2042" s="224"/>
      <c r="D2042" s="248"/>
      <c r="E2042" s="214"/>
      <c r="F2042" s="167">
        <f t="shared" si="88"/>
        <v>0</v>
      </c>
    </row>
    <row r="2043" spans="1:6" ht="20.25">
      <c r="A2043" s="262" t="s">
        <v>383</v>
      </c>
      <c r="B2043" s="245"/>
      <c r="C2043" s="224" t="s">
        <v>384</v>
      </c>
      <c r="D2043" s="248">
        <f>D2044</f>
        <v>2338</v>
      </c>
      <c r="E2043" s="214">
        <f>E2044</f>
        <v>0</v>
      </c>
      <c r="F2043" s="167">
        <f t="shared" si="88"/>
        <v>2338</v>
      </c>
    </row>
    <row r="2044" spans="1:6" ht="20.25">
      <c r="A2044" s="262"/>
      <c r="B2044" s="475" t="s">
        <v>350</v>
      </c>
      <c r="C2044" s="224" t="s">
        <v>385</v>
      </c>
      <c r="D2044" s="248">
        <f>338+2000</f>
        <v>2338</v>
      </c>
      <c r="E2044" s="214"/>
      <c r="F2044" s="167">
        <f t="shared" si="88"/>
        <v>2338</v>
      </c>
    </row>
    <row r="2045" spans="1:6" ht="20.25" hidden="1">
      <c r="A2045" s="262" t="s">
        <v>111</v>
      </c>
      <c r="B2045" s="245"/>
      <c r="C2045" s="224" t="s">
        <v>568</v>
      </c>
      <c r="D2045" s="248"/>
      <c r="E2045" s="214"/>
      <c r="F2045" s="167">
        <f t="shared" ref="F2045:F2061" si="89">D2045+E2045</f>
        <v>0</v>
      </c>
    </row>
    <row r="2046" spans="1:6" ht="20.25">
      <c r="A2046" s="262" t="s">
        <v>386</v>
      </c>
      <c r="B2046" s="245"/>
      <c r="C2046" s="224" t="s">
        <v>387</v>
      </c>
      <c r="D2046" s="248">
        <v>3180</v>
      </c>
      <c r="E2046" s="214"/>
      <c r="F2046" s="167">
        <f t="shared" si="89"/>
        <v>3180</v>
      </c>
    </row>
    <row r="2047" spans="1:6" ht="20.25" hidden="1">
      <c r="A2047" s="246"/>
      <c r="B2047" s="474"/>
      <c r="C2047" s="224"/>
      <c r="D2047" s="248"/>
      <c r="E2047" s="214"/>
      <c r="F2047" s="167">
        <f t="shared" si="89"/>
        <v>0</v>
      </c>
    </row>
    <row r="2048" spans="1:6" ht="20.25" hidden="1">
      <c r="A2048" s="263"/>
      <c r="B2048" s="396"/>
      <c r="C2048" s="224" t="s">
        <v>112</v>
      </c>
      <c r="D2048" s="248"/>
      <c r="E2048" s="214"/>
      <c r="F2048" s="167">
        <f t="shared" si="89"/>
        <v>0</v>
      </c>
    </row>
    <row r="2049" spans="1:6" ht="20.25" hidden="1">
      <c r="A2049" s="263"/>
      <c r="B2049" s="396"/>
      <c r="C2049" s="224"/>
      <c r="D2049" s="248"/>
      <c r="E2049" s="214"/>
      <c r="F2049" s="167">
        <f t="shared" si="89"/>
        <v>0</v>
      </c>
    </row>
    <row r="2050" spans="1:6" ht="20.25">
      <c r="A2050" s="255"/>
      <c r="B2050" s="264" t="s">
        <v>113</v>
      </c>
      <c r="C2050" s="202" t="s">
        <v>569</v>
      </c>
      <c r="D2050" s="350">
        <f>D2089+D2092+D2096+D2097+D2099+D2102+D2103</f>
        <v>220914</v>
      </c>
      <c r="E2050" s="409">
        <f>E2089+E2092+E2096+E2097+E2099+E2102+E2103</f>
        <v>-16</v>
      </c>
      <c r="F2050" s="210">
        <f>F2089+F2092+F2096+F2097+F2099+F2102+F2103</f>
        <v>220898</v>
      </c>
    </row>
    <row r="2051" spans="1:6" ht="20.25">
      <c r="A2051" s="265" t="s">
        <v>114</v>
      </c>
      <c r="B2051" s="474"/>
      <c r="C2051" s="235" t="s">
        <v>49</v>
      </c>
      <c r="D2051" s="367">
        <f>D2052+D2053+D2054+D2057+D2070+D2065+D2060+D2061</f>
        <v>18607</v>
      </c>
      <c r="E2051" s="414">
        <f>E2052+E2053+E2054+E2057+E2070+E2065+E2061+E2063</f>
        <v>0</v>
      </c>
      <c r="F2051" s="167">
        <f t="shared" si="89"/>
        <v>18607</v>
      </c>
    </row>
    <row r="2052" spans="1:6" ht="20.25" hidden="1">
      <c r="A2052" s="221" t="s">
        <v>561</v>
      </c>
      <c r="B2052" s="474"/>
      <c r="C2052" s="235">
        <v>10</v>
      </c>
      <c r="D2052" s="248"/>
      <c r="E2052" s="214"/>
      <c r="F2052" s="167">
        <f t="shared" si="89"/>
        <v>0</v>
      </c>
    </row>
    <row r="2053" spans="1:6" ht="20.25" hidden="1">
      <c r="A2053" s="236" t="s">
        <v>562</v>
      </c>
      <c r="B2053" s="474"/>
      <c r="C2053" s="224">
        <v>20</v>
      </c>
      <c r="D2053" s="248"/>
      <c r="E2053" s="214"/>
      <c r="F2053" s="167">
        <f t="shared" si="89"/>
        <v>0</v>
      </c>
    </row>
    <row r="2054" spans="1:6" ht="20.25" hidden="1">
      <c r="A2054" s="238" t="s">
        <v>388</v>
      </c>
      <c r="B2054" s="474"/>
      <c r="C2054" s="235" t="s">
        <v>592</v>
      </c>
      <c r="D2054" s="248"/>
      <c r="E2054" s="214"/>
      <c r="F2054" s="167">
        <f t="shared" si="89"/>
        <v>0</v>
      </c>
    </row>
    <row r="2055" spans="1:6" ht="20.25" hidden="1">
      <c r="A2055" s="215"/>
      <c r="B2055" s="474" t="s">
        <v>55</v>
      </c>
      <c r="C2055" s="235" t="s">
        <v>56</v>
      </c>
      <c r="D2055" s="248"/>
      <c r="E2055" s="214"/>
      <c r="F2055" s="167">
        <f t="shared" si="89"/>
        <v>0</v>
      </c>
    </row>
    <row r="2056" spans="1:6" ht="20.25" hidden="1">
      <c r="A2056" s="215"/>
      <c r="B2056" s="222" t="s">
        <v>100</v>
      </c>
      <c r="C2056" s="235" t="s">
        <v>58</v>
      </c>
      <c r="D2056" s="248"/>
      <c r="E2056" s="214"/>
      <c r="F2056" s="167">
        <f t="shared" si="89"/>
        <v>0</v>
      </c>
    </row>
    <row r="2057" spans="1:6" ht="20.25" hidden="1">
      <c r="A2057" s="219" t="s">
        <v>623</v>
      </c>
      <c r="B2057" s="397"/>
      <c r="C2057" s="235" t="s">
        <v>159</v>
      </c>
      <c r="D2057" s="248">
        <f>D2058</f>
        <v>0</v>
      </c>
      <c r="E2057" s="214">
        <f>E2058</f>
        <v>0</v>
      </c>
      <c r="F2057" s="167">
        <f t="shared" si="89"/>
        <v>0</v>
      </c>
    </row>
    <row r="2058" spans="1:6" ht="20.25" hidden="1">
      <c r="A2058" s="215"/>
      <c r="B2058" s="474" t="s">
        <v>301</v>
      </c>
      <c r="C2058" s="235" t="s">
        <v>67</v>
      </c>
      <c r="D2058" s="248">
        <f>D2059</f>
        <v>0</v>
      </c>
      <c r="E2058" s="214">
        <f>E2059</f>
        <v>0</v>
      </c>
      <c r="F2058" s="167">
        <f t="shared" si="89"/>
        <v>0</v>
      </c>
    </row>
    <row r="2059" spans="1:6" ht="18.75" hidden="1" customHeight="1">
      <c r="A2059" s="215"/>
      <c r="B2059" s="222" t="s">
        <v>974</v>
      </c>
      <c r="C2059" s="235" t="s">
        <v>329</v>
      </c>
      <c r="D2059" s="248"/>
      <c r="E2059" s="416"/>
      <c r="F2059" s="167">
        <f t="shared" si="89"/>
        <v>0</v>
      </c>
    </row>
    <row r="2060" spans="1:6" ht="18.75" customHeight="1">
      <c r="A2060" s="546" t="s">
        <v>1065</v>
      </c>
      <c r="B2060" s="529"/>
      <c r="C2060" s="430">
        <v>56</v>
      </c>
      <c r="D2060" s="248">
        <f>15200+1344</f>
        <v>16544</v>
      </c>
      <c r="E2060" s="214"/>
      <c r="F2060" s="356">
        <f t="shared" si="89"/>
        <v>16544</v>
      </c>
    </row>
    <row r="2061" spans="1:6" ht="39.75" customHeight="1">
      <c r="A2061" s="520" t="s">
        <v>890</v>
      </c>
      <c r="B2061" s="529"/>
      <c r="C2061" s="235">
        <v>58</v>
      </c>
      <c r="D2061" s="493">
        <v>2063</v>
      </c>
      <c r="E2061" s="426"/>
      <c r="F2061" s="167">
        <f t="shared" si="89"/>
        <v>2063</v>
      </c>
    </row>
    <row r="2062" spans="1:6" ht="21" hidden="1" thickBot="1">
      <c r="A2062" s="314"/>
      <c r="B2062" s="312" t="s">
        <v>315</v>
      </c>
      <c r="C2062" s="146" t="s">
        <v>324</v>
      </c>
      <c r="D2062" s="494"/>
      <c r="E2062" s="427"/>
      <c r="F2062" s="167">
        <f t="shared" ref="F2062:F2084" si="90">D2062+E2062</f>
        <v>0</v>
      </c>
    </row>
    <row r="2063" spans="1:6" ht="38.25" customHeight="1">
      <c r="A2063" s="545" t="s">
        <v>1002</v>
      </c>
      <c r="B2063" s="529"/>
      <c r="C2063" s="267">
        <v>60</v>
      </c>
      <c r="D2063" s="248">
        <f>59421+2595</f>
        <v>62016</v>
      </c>
      <c r="E2063" s="214"/>
      <c r="F2063" s="167">
        <f t="shared" si="90"/>
        <v>62016</v>
      </c>
    </row>
    <row r="2064" spans="1:6" ht="36.75" customHeight="1">
      <c r="A2064" s="545" t="s">
        <v>1013</v>
      </c>
      <c r="B2064" s="529"/>
      <c r="C2064" s="267">
        <v>61</v>
      </c>
      <c r="D2064" s="248">
        <v>122642</v>
      </c>
      <c r="E2064" s="214"/>
      <c r="F2064" s="167">
        <f t="shared" si="90"/>
        <v>122642</v>
      </c>
    </row>
    <row r="2065" spans="1:6" ht="20.25" hidden="1">
      <c r="A2065" s="399" t="s">
        <v>316</v>
      </c>
      <c r="B2065" s="407"/>
      <c r="C2065" s="431">
        <v>57</v>
      </c>
      <c r="D2065" s="493">
        <f>D2066</f>
        <v>0</v>
      </c>
      <c r="E2065" s="426">
        <f>E2066</f>
        <v>0</v>
      </c>
      <c r="F2065" s="167">
        <f t="shared" si="90"/>
        <v>0</v>
      </c>
    </row>
    <row r="2066" spans="1:6" ht="20.25" hidden="1">
      <c r="A2066" s="376" t="s">
        <v>69</v>
      </c>
      <c r="B2066" s="474"/>
      <c r="C2066" s="224" t="s">
        <v>70</v>
      </c>
      <c r="D2066" s="367">
        <f>D2067+D2068+D2069</f>
        <v>0</v>
      </c>
      <c r="E2066" s="414">
        <f>E2067+E2068+E2069</f>
        <v>0</v>
      </c>
      <c r="F2066" s="167">
        <f t="shared" si="90"/>
        <v>0</v>
      </c>
    </row>
    <row r="2067" spans="1:6" ht="20.25" hidden="1">
      <c r="A2067" s="225"/>
      <c r="B2067" s="475" t="s">
        <v>71</v>
      </c>
      <c r="C2067" s="224" t="s">
        <v>72</v>
      </c>
      <c r="D2067" s="248"/>
      <c r="E2067" s="214"/>
      <c r="F2067" s="167">
        <f t="shared" si="90"/>
        <v>0</v>
      </c>
    </row>
    <row r="2068" spans="1:6" ht="20.25" hidden="1">
      <c r="A2068" s="215"/>
      <c r="B2068" s="475" t="s">
        <v>126</v>
      </c>
      <c r="C2068" s="224" t="s">
        <v>74</v>
      </c>
      <c r="D2068" s="248"/>
      <c r="E2068" s="214"/>
      <c r="F2068" s="167">
        <f t="shared" si="90"/>
        <v>0</v>
      </c>
    </row>
    <row r="2069" spans="1:6" ht="20.25" hidden="1">
      <c r="A2069" s="238"/>
      <c r="B2069" s="475" t="s">
        <v>308</v>
      </c>
      <c r="C2069" s="224" t="s">
        <v>292</v>
      </c>
      <c r="D2069" s="248"/>
      <c r="E2069" s="214"/>
      <c r="F2069" s="167">
        <f t="shared" si="90"/>
        <v>0</v>
      </c>
    </row>
    <row r="2070" spans="1:6" ht="20.25" hidden="1">
      <c r="A2070" s="237" t="s">
        <v>932</v>
      </c>
      <c r="B2070" s="474"/>
      <c r="C2070" s="235">
        <v>59</v>
      </c>
      <c r="D2070" s="367">
        <f>D2071+D2072</f>
        <v>0</v>
      </c>
      <c r="E2070" s="414">
        <f>E2071+E2072</f>
        <v>0</v>
      </c>
      <c r="F2070" s="167">
        <f t="shared" si="90"/>
        <v>0</v>
      </c>
    </row>
    <row r="2071" spans="1:6" ht="20.25" hidden="1">
      <c r="A2071" s="227" t="s">
        <v>115</v>
      </c>
      <c r="B2071" s="474"/>
      <c r="C2071" s="235" t="s">
        <v>76</v>
      </c>
      <c r="D2071" s="248"/>
      <c r="E2071" s="214"/>
      <c r="F2071" s="167">
        <f t="shared" si="90"/>
        <v>0</v>
      </c>
    </row>
    <row r="2072" spans="1:6" ht="20.25" hidden="1">
      <c r="A2072" s="227" t="s">
        <v>136</v>
      </c>
      <c r="B2072" s="474"/>
      <c r="C2072" s="235" t="s">
        <v>619</v>
      </c>
      <c r="D2072" s="248"/>
      <c r="E2072" s="214"/>
      <c r="F2072" s="167">
        <f t="shared" si="90"/>
        <v>0</v>
      </c>
    </row>
    <row r="2073" spans="1:6" ht="20.25">
      <c r="A2073" s="261" t="s">
        <v>116</v>
      </c>
      <c r="B2073" s="474"/>
      <c r="C2073" s="224">
        <v>70</v>
      </c>
      <c r="D2073" s="367">
        <f>D2074</f>
        <v>8550</v>
      </c>
      <c r="E2073" s="414">
        <f>E2074</f>
        <v>-16</v>
      </c>
      <c r="F2073" s="167">
        <f t="shared" si="90"/>
        <v>8534</v>
      </c>
    </row>
    <row r="2074" spans="1:6" ht="20.25">
      <c r="A2074" s="226" t="s">
        <v>1014</v>
      </c>
      <c r="B2074" s="474"/>
      <c r="C2074" s="224">
        <v>71</v>
      </c>
      <c r="D2074" s="248">
        <f>6610+100+200+670+970</f>
        <v>8550</v>
      </c>
      <c r="E2074" s="214">
        <f>-40+24</f>
        <v>-16</v>
      </c>
      <c r="F2074" s="167">
        <f t="shared" si="90"/>
        <v>8534</v>
      </c>
    </row>
    <row r="2075" spans="1:6" ht="20.25" hidden="1">
      <c r="A2075" s="219" t="s">
        <v>110</v>
      </c>
      <c r="B2075" s="474"/>
      <c r="C2075" s="224" t="s">
        <v>80</v>
      </c>
      <c r="D2075" s="248">
        <f>D2076+D2077+D2078+D2079</f>
        <v>0</v>
      </c>
      <c r="E2075" s="214">
        <f>E2076+E2077+E2078+E2079</f>
        <v>0</v>
      </c>
      <c r="F2075" s="167">
        <f t="shared" si="90"/>
        <v>0</v>
      </c>
    </row>
    <row r="2076" spans="1:6" ht="27" hidden="1" customHeight="1">
      <c r="A2076" s="219"/>
      <c r="B2076" s="218" t="s">
        <v>81</v>
      </c>
      <c r="C2076" s="241" t="s">
        <v>82</v>
      </c>
      <c r="D2076" s="248"/>
      <c r="E2076" s="214"/>
      <c r="F2076" s="167">
        <f t="shared" si="90"/>
        <v>0</v>
      </c>
    </row>
    <row r="2077" spans="1:6" ht="21" hidden="1" customHeight="1">
      <c r="A2077" s="219"/>
      <c r="B2077" s="220" t="s">
        <v>83</v>
      </c>
      <c r="C2077" s="241" t="s">
        <v>84</v>
      </c>
      <c r="D2077" s="248"/>
      <c r="E2077" s="214"/>
      <c r="F2077" s="167">
        <f t="shared" si="90"/>
        <v>0</v>
      </c>
    </row>
    <row r="2078" spans="1:6" ht="20.25" hidden="1">
      <c r="A2078" s="219"/>
      <c r="B2078" s="220" t="s">
        <v>94</v>
      </c>
      <c r="C2078" s="241" t="s">
        <v>86</v>
      </c>
      <c r="D2078" s="248"/>
      <c r="E2078" s="214"/>
      <c r="F2078" s="167">
        <f t="shared" si="90"/>
        <v>0</v>
      </c>
    </row>
    <row r="2079" spans="1:6" ht="20.25" hidden="1">
      <c r="A2079" s="219"/>
      <c r="B2079" s="220" t="s">
        <v>87</v>
      </c>
      <c r="C2079" s="241" t="s">
        <v>88</v>
      </c>
      <c r="D2079" s="248"/>
      <c r="E2079" s="214"/>
      <c r="F2079" s="167">
        <f t="shared" si="90"/>
        <v>0</v>
      </c>
    </row>
    <row r="2080" spans="1:6" ht="20.25" hidden="1">
      <c r="A2080" s="526" t="s">
        <v>268</v>
      </c>
      <c r="B2080" s="529"/>
      <c r="C2080" s="241" t="s">
        <v>269</v>
      </c>
      <c r="D2080" s="248"/>
      <c r="E2080" s="214"/>
      <c r="F2080" s="167">
        <f t="shared" si="90"/>
        <v>0</v>
      </c>
    </row>
    <row r="2081" spans="1:7" ht="20.25">
      <c r="A2081" s="268" t="s">
        <v>614</v>
      </c>
      <c r="B2081" s="220"/>
      <c r="C2081" s="224">
        <v>79</v>
      </c>
      <c r="D2081" s="248">
        <f>D2082</f>
        <v>9099</v>
      </c>
      <c r="E2081" s="214">
        <f>E2082</f>
        <v>0</v>
      </c>
      <c r="F2081" s="167">
        <f t="shared" si="90"/>
        <v>9099</v>
      </c>
    </row>
    <row r="2082" spans="1:7" ht="20.25">
      <c r="A2082" s="542" t="s">
        <v>1020</v>
      </c>
      <c r="B2082" s="529"/>
      <c r="C2082" s="224">
        <v>81</v>
      </c>
      <c r="D2082" s="248">
        <f>D2085</f>
        <v>9099</v>
      </c>
      <c r="E2082" s="214">
        <f>E2085</f>
        <v>0</v>
      </c>
      <c r="F2082" s="167">
        <f t="shared" si="90"/>
        <v>9099</v>
      </c>
    </row>
    <row r="2083" spans="1:7" ht="20.25" hidden="1">
      <c r="A2083" s="219" t="s">
        <v>287</v>
      </c>
      <c r="B2083" s="220"/>
      <c r="C2083" s="224" t="s">
        <v>279</v>
      </c>
      <c r="D2083" s="248"/>
      <c r="E2083" s="214"/>
      <c r="F2083" s="167">
        <f t="shared" si="90"/>
        <v>0</v>
      </c>
    </row>
    <row r="2084" spans="1:7" ht="20.25" hidden="1">
      <c r="A2084" s="206" t="s">
        <v>629</v>
      </c>
      <c r="B2084" s="220"/>
      <c r="C2084" s="224" t="s">
        <v>602</v>
      </c>
      <c r="D2084" s="248"/>
      <c r="E2084" s="214"/>
      <c r="F2084" s="167">
        <f t="shared" si="90"/>
        <v>0</v>
      </c>
    </row>
    <row r="2085" spans="1:7" ht="40.5" customHeight="1">
      <c r="A2085" s="524" t="s">
        <v>887</v>
      </c>
      <c r="B2085" s="529"/>
      <c r="C2085" s="224" t="s">
        <v>888</v>
      </c>
      <c r="D2085" s="248">
        <f>6347-1813+1815+2750</f>
        <v>9099</v>
      </c>
      <c r="E2085" s="214"/>
      <c r="F2085" s="167">
        <f t="shared" ref="F2085:F2121" si="91">D2085+E2085</f>
        <v>9099</v>
      </c>
    </row>
    <row r="2086" spans="1:7" ht="20.25" hidden="1">
      <c r="A2086" s="541" t="s">
        <v>661</v>
      </c>
      <c r="B2086" s="529"/>
      <c r="C2086" s="224">
        <v>85</v>
      </c>
      <c r="D2086" s="248">
        <f>D2087</f>
        <v>0</v>
      </c>
      <c r="E2086" s="214">
        <f>E2087</f>
        <v>0</v>
      </c>
      <c r="F2086" s="167">
        <f t="shared" si="91"/>
        <v>0</v>
      </c>
    </row>
    <row r="2087" spans="1:7" ht="28.5" hidden="1" customHeight="1">
      <c r="A2087" s="206"/>
      <c r="B2087" s="220" t="s">
        <v>311</v>
      </c>
      <c r="C2087" s="224" t="s">
        <v>312</v>
      </c>
      <c r="D2087" s="248"/>
      <c r="E2087" s="214"/>
      <c r="F2087" s="167">
        <f t="shared" si="91"/>
        <v>0</v>
      </c>
    </row>
    <row r="2088" spans="1:7" ht="22.5" hidden="1" customHeight="1">
      <c r="A2088" s="242"/>
      <c r="B2088" s="243"/>
      <c r="C2088" s="224"/>
      <c r="D2088" s="248"/>
      <c r="E2088" s="214"/>
      <c r="F2088" s="167">
        <f t="shared" si="91"/>
        <v>0</v>
      </c>
    </row>
    <row r="2089" spans="1:7" ht="20.25" hidden="1">
      <c r="A2089" s="269" t="s">
        <v>117</v>
      </c>
      <c r="B2089" s="270"/>
      <c r="C2089" s="202" t="s">
        <v>118</v>
      </c>
      <c r="D2089" s="248">
        <f>D2090+D2091</f>
        <v>7351</v>
      </c>
      <c r="E2089" s="214">
        <f>E2090+E2091</f>
        <v>0</v>
      </c>
      <c r="F2089" s="167">
        <f t="shared" si="91"/>
        <v>7351</v>
      </c>
    </row>
    <row r="2090" spans="1:7" ht="20.25" hidden="1">
      <c r="A2090" s="269"/>
      <c r="B2090" s="270" t="s">
        <v>119</v>
      </c>
      <c r="C2090" s="202" t="s">
        <v>570</v>
      </c>
      <c r="D2090" s="248">
        <f>7258+20+73</f>
        <v>7351</v>
      </c>
      <c r="E2090" s="214"/>
      <c r="F2090" s="167">
        <f t="shared" si="91"/>
        <v>7351</v>
      </c>
    </row>
    <row r="2091" spans="1:7" ht="20.25" hidden="1">
      <c r="A2091" s="269"/>
      <c r="B2091" s="270" t="s">
        <v>120</v>
      </c>
      <c r="C2091" s="202" t="s">
        <v>571</v>
      </c>
      <c r="D2091" s="248"/>
      <c r="E2091" s="214"/>
      <c r="F2091" s="167">
        <f t="shared" si="91"/>
        <v>0</v>
      </c>
    </row>
    <row r="2092" spans="1:7" ht="20.25" hidden="1">
      <c r="A2092" s="269" t="s">
        <v>121</v>
      </c>
      <c r="B2092" s="259"/>
      <c r="C2092" s="202" t="s">
        <v>616</v>
      </c>
      <c r="D2092" s="367">
        <f>D2093+D2094</f>
        <v>147533</v>
      </c>
      <c r="E2092" s="414">
        <f>E2093+E2094</f>
        <v>24</v>
      </c>
      <c r="F2092" s="167">
        <f t="shared" si="91"/>
        <v>147557</v>
      </c>
    </row>
    <row r="2093" spans="1:7" ht="20.25" hidden="1">
      <c r="A2093" s="269"/>
      <c r="B2093" s="475" t="s">
        <v>389</v>
      </c>
      <c r="C2093" s="202" t="s">
        <v>390</v>
      </c>
      <c r="D2093" s="248">
        <f>20854+1815+2900</f>
        <v>25569</v>
      </c>
      <c r="E2093" s="214"/>
      <c r="F2093" s="167">
        <f t="shared" si="91"/>
        <v>25569</v>
      </c>
      <c r="G2093" s="139" t="s">
        <v>989</v>
      </c>
    </row>
    <row r="2094" spans="1:7" ht="20.25" hidden="1">
      <c r="A2094" s="269"/>
      <c r="B2094" s="475" t="s">
        <v>122</v>
      </c>
      <c r="C2094" s="202" t="s">
        <v>123</v>
      </c>
      <c r="D2094" s="248">
        <f>120567+650+747</f>
        <v>121964</v>
      </c>
      <c r="E2094" s="214">
        <v>24</v>
      </c>
      <c r="F2094" s="167">
        <f t="shared" si="91"/>
        <v>121988</v>
      </c>
    </row>
    <row r="2095" spans="1:7" ht="20.25" hidden="1">
      <c r="A2095" s="269"/>
      <c r="B2095" s="220" t="s">
        <v>391</v>
      </c>
      <c r="C2095" s="202" t="s">
        <v>392</v>
      </c>
      <c r="D2095" s="248"/>
      <c r="E2095" s="214"/>
      <c r="F2095" s="167">
        <f t="shared" si="91"/>
        <v>0</v>
      </c>
    </row>
    <row r="2096" spans="1:7" ht="20.25" hidden="1">
      <c r="A2096" s="244" t="s">
        <v>393</v>
      </c>
      <c r="B2096" s="475"/>
      <c r="C2096" s="202" t="s">
        <v>394</v>
      </c>
      <c r="D2096" s="248"/>
      <c r="E2096" s="214"/>
      <c r="F2096" s="167">
        <f t="shared" si="91"/>
        <v>0</v>
      </c>
    </row>
    <row r="2097" spans="1:6" ht="20.25" hidden="1">
      <c r="A2097" s="244" t="s">
        <v>395</v>
      </c>
      <c r="B2097" s="475"/>
      <c r="C2097" s="202" t="s">
        <v>396</v>
      </c>
      <c r="D2097" s="248"/>
      <c r="E2097" s="214"/>
      <c r="F2097" s="167">
        <f t="shared" si="91"/>
        <v>0</v>
      </c>
    </row>
    <row r="2098" spans="1:6" ht="20.25" hidden="1">
      <c r="A2098" s="244"/>
      <c r="B2098" s="475" t="s">
        <v>397</v>
      </c>
      <c r="C2098" s="202" t="s">
        <v>398</v>
      </c>
      <c r="D2098" s="248"/>
      <c r="E2098" s="214"/>
      <c r="F2098" s="167">
        <f t="shared" si="91"/>
        <v>0</v>
      </c>
    </row>
    <row r="2099" spans="1:6" ht="20.25" hidden="1">
      <c r="A2099" s="244" t="s">
        <v>399</v>
      </c>
      <c r="B2099" s="475"/>
      <c r="C2099" s="202" t="s">
        <v>400</v>
      </c>
      <c r="D2099" s="248">
        <f>D2100+D2101</f>
        <v>0</v>
      </c>
      <c r="E2099" s="214">
        <f>E2100+E2101</f>
        <v>0</v>
      </c>
      <c r="F2099" s="167">
        <f t="shared" si="91"/>
        <v>0</v>
      </c>
    </row>
    <row r="2100" spans="1:6" ht="20.25" hidden="1">
      <c r="A2100" s="244"/>
      <c r="B2100" s="270" t="s">
        <v>401</v>
      </c>
      <c r="C2100" s="202" t="s">
        <v>402</v>
      </c>
      <c r="D2100" s="248"/>
      <c r="E2100" s="214"/>
      <c r="F2100" s="167">
        <f t="shared" si="91"/>
        <v>0</v>
      </c>
    </row>
    <row r="2101" spans="1:6" ht="20.25" hidden="1">
      <c r="A2101" s="244"/>
      <c r="B2101" s="475" t="s">
        <v>403</v>
      </c>
      <c r="C2101" s="202" t="s">
        <v>404</v>
      </c>
      <c r="D2101" s="248"/>
      <c r="E2101" s="214"/>
      <c r="F2101" s="167">
        <f t="shared" si="91"/>
        <v>0</v>
      </c>
    </row>
    <row r="2102" spans="1:6" ht="20.25" hidden="1">
      <c r="A2102" s="244" t="s">
        <v>993</v>
      </c>
      <c r="B2102" s="475"/>
      <c r="C2102" s="202" t="s">
        <v>994</v>
      </c>
      <c r="D2102" s="248">
        <f>32232+1140+138+2595</f>
        <v>36105</v>
      </c>
      <c r="E2102" s="214"/>
      <c r="F2102" s="167">
        <f t="shared" si="91"/>
        <v>36105</v>
      </c>
    </row>
    <row r="2103" spans="1:6" ht="20.25" hidden="1">
      <c r="A2103" s="236" t="s">
        <v>405</v>
      </c>
      <c r="B2103" s="220"/>
      <c r="C2103" s="202" t="s">
        <v>406</v>
      </c>
      <c r="D2103" s="248">
        <f>29925</f>
        <v>29925</v>
      </c>
      <c r="E2103" s="214">
        <v>-40</v>
      </c>
      <c r="F2103" s="167">
        <f t="shared" si="91"/>
        <v>29885</v>
      </c>
    </row>
    <row r="2104" spans="1:6" ht="20.25" hidden="1">
      <c r="A2104" s="271"/>
      <c r="B2104" s="474"/>
      <c r="C2104" s="224"/>
      <c r="D2104" s="248"/>
      <c r="E2104" s="214"/>
      <c r="F2104" s="167">
        <f t="shared" si="91"/>
        <v>0</v>
      </c>
    </row>
    <row r="2105" spans="1:6" ht="20.25">
      <c r="A2105" s="272"/>
      <c r="B2105" s="264" t="s">
        <v>124</v>
      </c>
      <c r="C2105" s="202" t="s">
        <v>572</v>
      </c>
      <c r="D2105" s="350">
        <f>D2133+D2136+D2135</f>
        <v>28006</v>
      </c>
      <c r="E2105" s="409">
        <f>E2133+E2136+E2135</f>
        <v>0</v>
      </c>
      <c r="F2105" s="167">
        <f t="shared" si="91"/>
        <v>28006</v>
      </c>
    </row>
    <row r="2106" spans="1:6" ht="20.25">
      <c r="A2106" s="247" t="s">
        <v>916</v>
      </c>
      <c r="B2106" s="474"/>
      <c r="C2106" s="235" t="s">
        <v>49</v>
      </c>
      <c r="D2106" s="367">
        <f>D2107+D2108+D2109+D2117+D2121+D2122</f>
        <v>24546</v>
      </c>
      <c r="E2106" s="414">
        <f>E2107+E2108+E2109+E2117+E2122</f>
        <v>0</v>
      </c>
      <c r="F2106" s="167">
        <f t="shared" si="91"/>
        <v>24546</v>
      </c>
    </row>
    <row r="2107" spans="1:6" ht="20.25" hidden="1">
      <c r="A2107" s="204" t="s">
        <v>561</v>
      </c>
      <c r="B2107" s="474"/>
      <c r="C2107" s="235">
        <v>10</v>
      </c>
      <c r="D2107" s="248"/>
      <c r="E2107" s="214"/>
      <c r="F2107" s="167">
        <f t="shared" si="91"/>
        <v>0</v>
      </c>
    </row>
    <row r="2108" spans="1:6" ht="20.25" hidden="1">
      <c r="A2108" s="206" t="s">
        <v>562</v>
      </c>
      <c r="B2108" s="474"/>
      <c r="C2108" s="224">
        <v>20</v>
      </c>
      <c r="D2108" s="248"/>
      <c r="E2108" s="214"/>
      <c r="F2108" s="167">
        <f t="shared" si="91"/>
        <v>0</v>
      </c>
    </row>
    <row r="2109" spans="1:6" ht="36" customHeight="1">
      <c r="A2109" s="526" t="s">
        <v>54</v>
      </c>
      <c r="B2109" s="527"/>
      <c r="C2109" s="235" t="s">
        <v>592</v>
      </c>
      <c r="D2109" s="367">
        <f>D2110+D2112</f>
        <v>7655</v>
      </c>
      <c r="E2109" s="414">
        <f>E2110+E2112</f>
        <v>0</v>
      </c>
      <c r="F2109" s="167">
        <f t="shared" si="91"/>
        <v>7655</v>
      </c>
    </row>
    <row r="2110" spans="1:6" ht="20.25" hidden="1">
      <c r="A2110" s="219" t="s">
        <v>55</v>
      </c>
      <c r="B2110" s="474"/>
      <c r="C2110" s="224" t="s">
        <v>56</v>
      </c>
      <c r="D2110" s="367">
        <f>D2111</f>
        <v>0</v>
      </c>
      <c r="E2110" s="414">
        <f>E2111</f>
        <v>0</v>
      </c>
      <c r="F2110" s="167">
        <f t="shared" si="91"/>
        <v>0</v>
      </c>
    </row>
    <row r="2111" spans="1:6" ht="20.25" hidden="1">
      <c r="A2111" s="215"/>
      <c r="B2111" s="222" t="s">
        <v>893</v>
      </c>
      <c r="C2111" s="235" t="s">
        <v>60</v>
      </c>
      <c r="D2111" s="248"/>
      <c r="E2111" s="214"/>
      <c r="F2111" s="167">
        <f t="shared" si="91"/>
        <v>0</v>
      </c>
    </row>
    <row r="2112" spans="1:6" ht="20.25">
      <c r="A2112" s="219" t="s">
        <v>125</v>
      </c>
      <c r="B2112" s="460"/>
      <c r="C2112" s="224" t="s">
        <v>560</v>
      </c>
      <c r="D2112" s="367">
        <f>D2113</f>
        <v>7655</v>
      </c>
      <c r="E2112" s="414">
        <f>E2113</f>
        <v>0</v>
      </c>
      <c r="F2112" s="167">
        <f t="shared" si="91"/>
        <v>7655</v>
      </c>
    </row>
    <row r="2113" spans="1:6" ht="36">
      <c r="A2113" s="215"/>
      <c r="B2113" s="220" t="s">
        <v>1036</v>
      </c>
      <c r="C2113" s="224" t="s">
        <v>1035</v>
      </c>
      <c r="D2113" s="248">
        <v>7655</v>
      </c>
      <c r="E2113" s="214"/>
      <c r="F2113" s="167">
        <f t="shared" si="91"/>
        <v>7655</v>
      </c>
    </row>
    <row r="2114" spans="1:6" ht="20.25" hidden="1">
      <c r="A2114" s="219" t="s">
        <v>612</v>
      </c>
      <c r="B2114" s="474"/>
      <c r="C2114" s="235" t="s">
        <v>159</v>
      </c>
      <c r="D2114" s="248"/>
      <c r="E2114" s="214"/>
      <c r="F2114" s="167">
        <f t="shared" si="91"/>
        <v>0</v>
      </c>
    </row>
    <row r="2115" spans="1:6" ht="20.25" hidden="1">
      <c r="A2115" s="219" t="s">
        <v>160</v>
      </c>
      <c r="B2115" s="474"/>
      <c r="C2115" s="235" t="s">
        <v>67</v>
      </c>
      <c r="D2115" s="248"/>
      <c r="E2115" s="214"/>
      <c r="F2115" s="167">
        <f t="shared" si="91"/>
        <v>0</v>
      </c>
    </row>
    <row r="2116" spans="1:6" ht="20.25" hidden="1">
      <c r="A2116" s="215"/>
      <c r="B2116" s="220" t="s">
        <v>624</v>
      </c>
      <c r="C2116" s="224" t="s">
        <v>625</v>
      </c>
      <c r="D2116" s="248"/>
      <c r="E2116" s="214"/>
      <c r="F2116" s="167">
        <f t="shared" si="91"/>
        <v>0</v>
      </c>
    </row>
    <row r="2117" spans="1:6" ht="20.25" hidden="1">
      <c r="A2117" s="236"/>
      <c r="B2117" s="474"/>
      <c r="C2117" s="235">
        <v>57</v>
      </c>
      <c r="D2117" s="367">
        <f>D2118</f>
        <v>0</v>
      </c>
      <c r="E2117" s="414">
        <f>E2118</f>
        <v>0</v>
      </c>
      <c r="F2117" s="167">
        <f t="shared" si="91"/>
        <v>0</v>
      </c>
    </row>
    <row r="2118" spans="1:6" ht="20.25" hidden="1">
      <c r="A2118" s="225" t="s">
        <v>69</v>
      </c>
      <c r="B2118" s="474"/>
      <c r="C2118" s="224" t="s">
        <v>70</v>
      </c>
      <c r="D2118" s="367">
        <f>D2119+D2120</f>
        <v>0</v>
      </c>
      <c r="E2118" s="414">
        <f>E2119+E2120</f>
        <v>0</v>
      </c>
      <c r="F2118" s="167">
        <f t="shared" si="91"/>
        <v>0</v>
      </c>
    </row>
    <row r="2119" spans="1:6" ht="20.25" hidden="1">
      <c r="A2119" s="225"/>
      <c r="B2119" s="475" t="s">
        <v>71</v>
      </c>
      <c r="C2119" s="224" t="s">
        <v>72</v>
      </c>
      <c r="D2119" s="248"/>
      <c r="E2119" s="214"/>
      <c r="F2119" s="167">
        <f t="shared" si="91"/>
        <v>0</v>
      </c>
    </row>
    <row r="2120" spans="1:6" ht="20.25" hidden="1">
      <c r="A2120" s="215"/>
      <c r="B2120" s="475" t="s">
        <v>126</v>
      </c>
      <c r="C2120" s="224" t="s">
        <v>74</v>
      </c>
      <c r="D2120" s="248"/>
      <c r="E2120" s="214"/>
      <c r="F2120" s="167">
        <f t="shared" si="91"/>
        <v>0</v>
      </c>
    </row>
    <row r="2121" spans="1:6" ht="20.25">
      <c r="A2121" s="546" t="s">
        <v>1065</v>
      </c>
      <c r="B2121" s="529"/>
      <c r="C2121" s="430">
        <v>56</v>
      </c>
      <c r="D2121" s="248">
        <v>16891</v>
      </c>
      <c r="E2121" s="214"/>
      <c r="F2121" s="167">
        <f t="shared" si="91"/>
        <v>16891</v>
      </c>
    </row>
    <row r="2122" spans="1:6" ht="20.25" hidden="1">
      <c r="A2122" s="520" t="s">
        <v>890</v>
      </c>
      <c r="B2122" s="529"/>
      <c r="C2122" s="235">
        <v>58</v>
      </c>
      <c r="D2122" s="248"/>
      <c r="E2122" s="214"/>
      <c r="F2122" s="167">
        <f t="shared" ref="F2122:F2183" si="92">D2122+E2122</f>
        <v>0</v>
      </c>
    </row>
    <row r="2123" spans="1:6" ht="44.25" customHeight="1">
      <c r="A2123" s="522" t="s">
        <v>1002</v>
      </c>
      <c r="B2123" s="529"/>
      <c r="C2123" s="224">
        <v>60</v>
      </c>
      <c r="D2123" s="248">
        <v>2835</v>
      </c>
      <c r="E2123" s="214"/>
      <c r="F2123" s="167">
        <f t="shared" si="92"/>
        <v>2835</v>
      </c>
    </row>
    <row r="2124" spans="1:6" ht="20.25">
      <c r="A2124" s="261" t="s">
        <v>475</v>
      </c>
      <c r="B2124" s="474"/>
      <c r="C2124" s="224">
        <v>70</v>
      </c>
      <c r="D2124" s="248">
        <f>D2125</f>
        <v>615</v>
      </c>
      <c r="E2124" s="214">
        <f>E2125</f>
        <v>10</v>
      </c>
      <c r="F2124" s="167">
        <f t="shared" si="92"/>
        <v>625</v>
      </c>
    </row>
    <row r="2125" spans="1:6" ht="20.25">
      <c r="A2125" s="226" t="s">
        <v>1014</v>
      </c>
      <c r="B2125" s="474"/>
      <c r="C2125" s="224">
        <v>71</v>
      </c>
      <c r="D2125" s="248">
        <v>615</v>
      </c>
      <c r="E2125" s="214">
        <v>10</v>
      </c>
      <c r="F2125" s="167">
        <f t="shared" si="92"/>
        <v>625</v>
      </c>
    </row>
    <row r="2126" spans="1:6" ht="20.25" hidden="1">
      <c r="A2126" s="219" t="s">
        <v>127</v>
      </c>
      <c r="B2126" s="474"/>
      <c r="C2126" s="224" t="s">
        <v>80</v>
      </c>
      <c r="D2126" s="248">
        <v>0</v>
      </c>
      <c r="E2126" s="214">
        <v>0</v>
      </c>
      <c r="F2126" s="167">
        <f t="shared" si="92"/>
        <v>0</v>
      </c>
    </row>
    <row r="2127" spans="1:6" ht="20.25" hidden="1">
      <c r="A2127" s="219"/>
      <c r="B2127" s="218" t="s">
        <v>81</v>
      </c>
      <c r="C2127" s="241" t="s">
        <v>82</v>
      </c>
      <c r="D2127" s="248"/>
      <c r="E2127" s="214"/>
      <c r="F2127" s="167">
        <f t="shared" si="92"/>
        <v>0</v>
      </c>
    </row>
    <row r="2128" spans="1:6" ht="20.25" hidden="1">
      <c r="A2128" s="219"/>
      <c r="B2128" s="220" t="s">
        <v>83</v>
      </c>
      <c r="C2128" s="241" t="s">
        <v>84</v>
      </c>
      <c r="D2128" s="248"/>
      <c r="E2128" s="214"/>
      <c r="F2128" s="167">
        <f t="shared" si="92"/>
        <v>0</v>
      </c>
    </row>
    <row r="2129" spans="1:6" ht="20.25" hidden="1">
      <c r="A2129" s="219"/>
      <c r="B2129" s="220" t="s">
        <v>94</v>
      </c>
      <c r="C2129" s="241" t="s">
        <v>86</v>
      </c>
      <c r="D2129" s="248"/>
      <c r="E2129" s="214"/>
      <c r="F2129" s="167">
        <f t="shared" si="92"/>
        <v>0</v>
      </c>
    </row>
    <row r="2130" spans="1:6" ht="20.25" hidden="1">
      <c r="A2130" s="219"/>
      <c r="B2130" s="220" t="s">
        <v>87</v>
      </c>
      <c r="C2130" s="241" t="s">
        <v>88</v>
      </c>
      <c r="D2130" s="248"/>
      <c r="E2130" s="214"/>
      <c r="F2130" s="167">
        <f t="shared" si="92"/>
        <v>0</v>
      </c>
    </row>
    <row r="2131" spans="1:6" ht="20.25" hidden="1">
      <c r="A2131" s="526" t="s">
        <v>268</v>
      </c>
      <c r="B2131" s="529"/>
      <c r="C2131" s="241" t="s">
        <v>269</v>
      </c>
      <c r="D2131" s="248"/>
      <c r="E2131" s="214"/>
      <c r="F2131" s="167">
        <f t="shared" si="92"/>
        <v>0</v>
      </c>
    </row>
    <row r="2132" spans="1:6" ht="20.25" hidden="1">
      <c r="A2132" s="242"/>
      <c r="B2132" s="243"/>
      <c r="C2132" s="224"/>
      <c r="D2132" s="248"/>
      <c r="E2132" s="214"/>
      <c r="F2132" s="167">
        <f t="shared" si="92"/>
        <v>0</v>
      </c>
    </row>
    <row r="2133" spans="1:6" ht="20.25">
      <c r="A2133" s="236" t="s">
        <v>128</v>
      </c>
      <c r="B2133" s="220"/>
      <c r="C2133" s="224" t="s">
        <v>617</v>
      </c>
      <c r="D2133" s="367">
        <f>D2134</f>
        <v>28006</v>
      </c>
      <c r="E2133" s="414">
        <f>E2134</f>
        <v>0</v>
      </c>
      <c r="F2133" s="167">
        <f t="shared" si="92"/>
        <v>28006</v>
      </c>
    </row>
    <row r="2134" spans="1:6" ht="20.25">
      <c r="A2134" s="236"/>
      <c r="B2134" s="220" t="s">
        <v>129</v>
      </c>
      <c r="C2134" s="224" t="s">
        <v>130</v>
      </c>
      <c r="D2134" s="248">
        <f>615+19726+7655+10</f>
        <v>28006</v>
      </c>
      <c r="E2134" s="214"/>
      <c r="F2134" s="167">
        <f t="shared" si="92"/>
        <v>28006</v>
      </c>
    </row>
    <row r="2135" spans="1:6" ht="20.25" hidden="1">
      <c r="A2135" s="236"/>
      <c r="B2135" s="220" t="s">
        <v>351</v>
      </c>
      <c r="C2135" s="224" t="s">
        <v>352</v>
      </c>
      <c r="D2135" s="248"/>
      <c r="E2135" s="214"/>
      <c r="F2135" s="167">
        <f t="shared" si="92"/>
        <v>0</v>
      </c>
    </row>
    <row r="2136" spans="1:6" ht="20.25" hidden="1">
      <c r="A2136" s="244" t="s">
        <v>131</v>
      </c>
      <c r="B2136" s="475"/>
      <c r="C2136" s="224" t="s">
        <v>618</v>
      </c>
      <c r="D2136" s="367">
        <f>D2137</f>
        <v>0</v>
      </c>
      <c r="E2136" s="414">
        <f>E2137</f>
        <v>0</v>
      </c>
      <c r="F2136" s="167">
        <f t="shared" si="92"/>
        <v>0</v>
      </c>
    </row>
    <row r="2137" spans="1:6" ht="20.25" hidden="1">
      <c r="A2137" s="244"/>
      <c r="B2137" s="220" t="s">
        <v>132</v>
      </c>
      <c r="C2137" s="224" t="s">
        <v>133</v>
      </c>
      <c r="D2137" s="248"/>
      <c r="E2137" s="214"/>
      <c r="F2137" s="167">
        <f t="shared" si="92"/>
        <v>0</v>
      </c>
    </row>
    <row r="2138" spans="1:6" ht="20.25" hidden="1">
      <c r="A2138" s="244"/>
      <c r="B2138" s="220"/>
      <c r="C2138" s="224"/>
      <c r="D2138" s="248"/>
      <c r="E2138" s="214"/>
      <c r="F2138" s="167">
        <f t="shared" si="92"/>
        <v>0</v>
      </c>
    </row>
    <row r="2139" spans="1:6" ht="20.25">
      <c r="A2139" s="263"/>
      <c r="B2139" s="264" t="s">
        <v>134</v>
      </c>
      <c r="C2139" s="202" t="s">
        <v>573</v>
      </c>
      <c r="D2139" s="350">
        <f>D2169+D2180+D2184+D2185</f>
        <v>7689</v>
      </c>
      <c r="E2139" s="409">
        <f>E2169+E2180+E2184+E2185</f>
        <v>62000</v>
      </c>
      <c r="F2139" s="167">
        <f t="shared" si="92"/>
        <v>69689</v>
      </c>
    </row>
    <row r="2140" spans="1:6" ht="20.25">
      <c r="A2140" s="219" t="s">
        <v>917</v>
      </c>
      <c r="B2140" s="474"/>
      <c r="C2140" s="235" t="s">
        <v>49</v>
      </c>
      <c r="D2140" s="367">
        <f>D2141+D2142+D2143+D2146+D2151+D2149</f>
        <v>1869</v>
      </c>
      <c r="E2140" s="414">
        <f>E2141+E2142+E2143+E2146+E2151+E2149</f>
        <v>62000</v>
      </c>
      <c r="F2140" s="167">
        <f t="shared" si="92"/>
        <v>63869</v>
      </c>
    </row>
    <row r="2141" spans="1:6" ht="20.25" hidden="1">
      <c r="A2141" s="204" t="s">
        <v>561</v>
      </c>
      <c r="B2141" s="474"/>
      <c r="C2141" s="235">
        <v>10</v>
      </c>
      <c r="D2141" s="248"/>
      <c r="E2141" s="214"/>
      <c r="F2141" s="167">
        <f t="shared" si="92"/>
        <v>0</v>
      </c>
    </row>
    <row r="2142" spans="1:6" ht="20.25" hidden="1">
      <c r="A2142" s="206" t="s">
        <v>562</v>
      </c>
      <c r="B2142" s="474"/>
      <c r="C2142" s="224">
        <v>20</v>
      </c>
      <c r="D2142" s="248"/>
      <c r="E2142" s="214"/>
      <c r="F2142" s="167">
        <f t="shared" si="92"/>
        <v>0</v>
      </c>
    </row>
    <row r="2143" spans="1:6" ht="39.75" customHeight="1">
      <c r="A2143" s="526" t="s">
        <v>135</v>
      </c>
      <c r="B2143" s="527"/>
      <c r="C2143" s="235" t="s">
        <v>592</v>
      </c>
      <c r="D2143" s="367">
        <f>D2144</f>
        <v>1869</v>
      </c>
      <c r="E2143" s="414">
        <f>E2144</f>
        <v>0</v>
      </c>
      <c r="F2143" s="167">
        <f t="shared" si="92"/>
        <v>1869</v>
      </c>
    </row>
    <row r="2144" spans="1:6" ht="20.25">
      <c r="A2144" s="219" t="s">
        <v>63</v>
      </c>
      <c r="B2144" s="474"/>
      <c r="C2144" s="224" t="s">
        <v>560</v>
      </c>
      <c r="D2144" s="367">
        <f>D2145</f>
        <v>1869</v>
      </c>
      <c r="E2144" s="414">
        <f>E2145</f>
        <v>0</v>
      </c>
      <c r="F2144" s="167">
        <f t="shared" si="92"/>
        <v>1869</v>
      </c>
    </row>
    <row r="2145" spans="1:6" ht="20.25">
      <c r="A2145" s="215"/>
      <c r="B2145" s="222" t="s">
        <v>876</v>
      </c>
      <c r="C2145" s="235" t="s">
        <v>655</v>
      </c>
      <c r="D2145" s="248">
        <f>1704+165</f>
        <v>1869</v>
      </c>
      <c r="E2145" s="214"/>
      <c r="F2145" s="167">
        <f t="shared" si="92"/>
        <v>1869</v>
      </c>
    </row>
    <row r="2146" spans="1:6" ht="20.25" hidden="1">
      <c r="A2146" s="219"/>
      <c r="B2146" s="474"/>
      <c r="C2146" s="235" t="s">
        <v>159</v>
      </c>
      <c r="D2146" s="248"/>
      <c r="E2146" s="214"/>
      <c r="F2146" s="167">
        <f t="shared" si="92"/>
        <v>0</v>
      </c>
    </row>
    <row r="2147" spans="1:6" ht="20.25" hidden="1">
      <c r="A2147" s="219" t="s">
        <v>895</v>
      </c>
      <c r="B2147" s="474"/>
      <c r="C2147" s="235" t="s">
        <v>67</v>
      </c>
      <c r="D2147" s="248"/>
      <c r="E2147" s="214"/>
      <c r="F2147" s="167">
        <f t="shared" si="92"/>
        <v>0</v>
      </c>
    </row>
    <row r="2148" spans="1:6" ht="20.25" hidden="1">
      <c r="A2148" s="215"/>
      <c r="B2148" s="222" t="s">
        <v>624</v>
      </c>
      <c r="C2148" s="235" t="s">
        <v>625</v>
      </c>
      <c r="D2148" s="248"/>
      <c r="E2148" s="214"/>
      <c r="F2148" s="167">
        <f t="shared" si="92"/>
        <v>0</v>
      </c>
    </row>
    <row r="2149" spans="1:6" ht="36">
      <c r="A2149" s="215"/>
      <c r="B2149" s="208" t="s">
        <v>321</v>
      </c>
      <c r="C2149" s="235">
        <v>56</v>
      </c>
      <c r="D2149" s="248">
        <f>D2150</f>
        <v>0</v>
      </c>
      <c r="E2149" s="214">
        <f>E2150</f>
        <v>62000</v>
      </c>
      <c r="F2149" s="167">
        <f t="shared" si="92"/>
        <v>62000</v>
      </c>
    </row>
    <row r="2150" spans="1:6" ht="20.25">
      <c r="A2150" s="215"/>
      <c r="B2150" s="222" t="s">
        <v>315</v>
      </c>
      <c r="C2150" s="224" t="s">
        <v>1075</v>
      </c>
      <c r="D2150" s="248"/>
      <c r="E2150" s="214">
        <v>62000</v>
      </c>
      <c r="F2150" s="167">
        <f t="shared" si="92"/>
        <v>62000</v>
      </c>
    </row>
    <row r="2151" spans="1:6" ht="20.25" hidden="1">
      <c r="A2151" s="237" t="s">
        <v>319</v>
      </c>
      <c r="B2151" s="474"/>
      <c r="C2151" s="235">
        <v>59</v>
      </c>
      <c r="D2151" s="248"/>
      <c r="E2151" s="214"/>
      <c r="F2151" s="167">
        <f t="shared" si="92"/>
        <v>0</v>
      </c>
    </row>
    <row r="2152" spans="1:6" ht="20.25" hidden="1">
      <c r="A2152" s="227" t="s">
        <v>136</v>
      </c>
      <c r="B2152" s="474"/>
      <c r="C2152" s="235" t="s">
        <v>619</v>
      </c>
      <c r="D2152" s="248"/>
      <c r="E2152" s="214"/>
      <c r="F2152" s="167">
        <f t="shared" si="92"/>
        <v>0</v>
      </c>
    </row>
    <row r="2153" spans="1:6" ht="20.25" hidden="1">
      <c r="A2153" s="227" t="s">
        <v>137</v>
      </c>
      <c r="B2153" s="474"/>
      <c r="C2153" s="235" t="s">
        <v>620</v>
      </c>
      <c r="D2153" s="248"/>
      <c r="E2153" s="214"/>
      <c r="F2153" s="167">
        <f t="shared" si="92"/>
        <v>0</v>
      </c>
    </row>
    <row r="2154" spans="1:6" ht="20.25" hidden="1">
      <c r="A2154" s="227" t="s">
        <v>407</v>
      </c>
      <c r="B2154" s="474"/>
      <c r="C2154" s="235" t="s">
        <v>265</v>
      </c>
      <c r="D2154" s="248"/>
      <c r="E2154" s="214"/>
      <c r="F2154" s="167">
        <f t="shared" si="92"/>
        <v>0</v>
      </c>
    </row>
    <row r="2155" spans="1:6" ht="20.25">
      <c r="A2155" s="261" t="s">
        <v>116</v>
      </c>
      <c r="B2155" s="474"/>
      <c r="C2155" s="224">
        <v>70</v>
      </c>
      <c r="D2155" s="248">
        <f>D2156</f>
        <v>5820</v>
      </c>
      <c r="E2155" s="214">
        <f>E2156</f>
        <v>0</v>
      </c>
      <c r="F2155" s="167">
        <f t="shared" si="92"/>
        <v>5820</v>
      </c>
    </row>
    <row r="2156" spans="1:6" ht="20.25">
      <c r="A2156" s="226" t="s">
        <v>1014</v>
      </c>
      <c r="B2156" s="474"/>
      <c r="C2156" s="224">
        <v>71</v>
      </c>
      <c r="D2156" s="248">
        <f>5620+200</f>
        <v>5820</v>
      </c>
      <c r="E2156" s="214"/>
      <c r="F2156" s="167">
        <f t="shared" si="92"/>
        <v>5820</v>
      </c>
    </row>
    <row r="2157" spans="1:6" ht="20.25" hidden="1">
      <c r="A2157" s="219" t="s">
        <v>127</v>
      </c>
      <c r="B2157" s="474"/>
      <c r="C2157" s="224" t="s">
        <v>80</v>
      </c>
      <c r="D2157" s="248"/>
      <c r="E2157" s="214"/>
      <c r="F2157" s="167">
        <f t="shared" si="92"/>
        <v>0</v>
      </c>
    </row>
    <row r="2158" spans="1:6" ht="20.25" hidden="1">
      <c r="A2158" s="219"/>
      <c r="B2158" s="218" t="s">
        <v>81</v>
      </c>
      <c r="C2158" s="241" t="s">
        <v>82</v>
      </c>
      <c r="D2158" s="248"/>
      <c r="E2158" s="214"/>
      <c r="F2158" s="167">
        <f t="shared" si="92"/>
        <v>0</v>
      </c>
    </row>
    <row r="2159" spans="1:6" ht="20.25" hidden="1">
      <c r="A2159" s="219"/>
      <c r="B2159" s="220" t="s">
        <v>83</v>
      </c>
      <c r="C2159" s="241" t="s">
        <v>84</v>
      </c>
      <c r="D2159" s="248"/>
      <c r="E2159" s="214"/>
      <c r="F2159" s="167">
        <f t="shared" si="92"/>
        <v>0</v>
      </c>
    </row>
    <row r="2160" spans="1:6" ht="20.25" hidden="1">
      <c r="A2160" s="219"/>
      <c r="B2160" s="220" t="s">
        <v>94</v>
      </c>
      <c r="C2160" s="241" t="s">
        <v>86</v>
      </c>
      <c r="D2160" s="248"/>
      <c r="E2160" s="214"/>
      <c r="F2160" s="167">
        <f t="shared" si="92"/>
        <v>0</v>
      </c>
    </row>
    <row r="2161" spans="1:6" ht="20.25" hidden="1">
      <c r="A2161" s="219"/>
      <c r="B2161" s="220" t="s">
        <v>87</v>
      </c>
      <c r="C2161" s="241" t="s">
        <v>88</v>
      </c>
      <c r="D2161" s="248"/>
      <c r="E2161" s="214"/>
      <c r="F2161" s="167">
        <f t="shared" si="92"/>
        <v>0</v>
      </c>
    </row>
    <row r="2162" spans="1:6" ht="20.25" hidden="1">
      <c r="A2162" s="526" t="s">
        <v>268</v>
      </c>
      <c r="B2162" s="529"/>
      <c r="C2162" s="241" t="s">
        <v>269</v>
      </c>
      <c r="D2162" s="248"/>
      <c r="E2162" s="214"/>
      <c r="F2162" s="167">
        <f t="shared" si="92"/>
        <v>0</v>
      </c>
    </row>
    <row r="2163" spans="1:6" ht="20.25" hidden="1">
      <c r="A2163" s="215"/>
      <c r="B2163" s="220"/>
      <c r="C2163" s="224">
        <v>79</v>
      </c>
      <c r="D2163" s="248"/>
      <c r="E2163" s="214"/>
      <c r="F2163" s="167">
        <f t="shared" si="92"/>
        <v>0</v>
      </c>
    </row>
    <row r="2164" spans="1:6" ht="20.25" hidden="1">
      <c r="A2164" s="219"/>
      <c r="B2164" s="220"/>
      <c r="C2164" s="224">
        <v>81</v>
      </c>
      <c r="D2164" s="248"/>
      <c r="E2164" s="214"/>
      <c r="F2164" s="167">
        <f t="shared" si="92"/>
        <v>0</v>
      </c>
    </row>
    <row r="2165" spans="1:6" ht="20.25" hidden="1">
      <c r="A2165" s="206" t="s">
        <v>629</v>
      </c>
      <c r="B2165" s="220"/>
      <c r="C2165" s="224" t="s">
        <v>602</v>
      </c>
      <c r="D2165" s="248"/>
      <c r="E2165" s="214"/>
      <c r="F2165" s="167">
        <f t="shared" si="92"/>
        <v>0</v>
      </c>
    </row>
    <row r="2166" spans="1:6" ht="20.25" hidden="1">
      <c r="A2166" s="206"/>
      <c r="B2166" s="220" t="s">
        <v>318</v>
      </c>
      <c r="C2166" s="224">
        <v>85</v>
      </c>
      <c r="D2166" s="367">
        <f>D2167</f>
        <v>0</v>
      </c>
      <c r="E2166" s="414">
        <f>E2167</f>
        <v>0</v>
      </c>
      <c r="F2166" s="167">
        <f t="shared" si="92"/>
        <v>0</v>
      </c>
    </row>
    <row r="2167" spans="1:6" ht="20.25" hidden="1">
      <c r="A2167" s="206"/>
      <c r="B2167" s="220" t="s">
        <v>311</v>
      </c>
      <c r="C2167" s="224" t="s">
        <v>312</v>
      </c>
      <c r="D2167" s="248"/>
      <c r="E2167" s="214"/>
      <c r="F2167" s="167">
        <f t="shared" si="92"/>
        <v>0</v>
      </c>
    </row>
    <row r="2168" spans="1:6" ht="20.25" hidden="1">
      <c r="A2168" s="242"/>
      <c r="B2168" s="243"/>
      <c r="C2168" s="224"/>
      <c r="D2168" s="248"/>
      <c r="E2168" s="214"/>
      <c r="F2168" s="167">
        <f t="shared" si="92"/>
        <v>0</v>
      </c>
    </row>
    <row r="2169" spans="1:6" ht="20.25">
      <c r="A2169" s="273" t="s">
        <v>138</v>
      </c>
      <c r="B2169" s="274"/>
      <c r="C2169" s="224" t="s">
        <v>139</v>
      </c>
      <c r="D2169" s="367">
        <f>SUM(D2170:D2179)</f>
        <v>7479</v>
      </c>
      <c r="E2169" s="414">
        <f>SUM(E2170:E2179)</f>
        <v>0</v>
      </c>
      <c r="F2169" s="167">
        <f t="shared" si="92"/>
        <v>7479</v>
      </c>
    </row>
    <row r="2170" spans="1:6" ht="20.25" hidden="1">
      <c r="A2170" s="244"/>
      <c r="B2170" s="220" t="s">
        <v>408</v>
      </c>
      <c r="C2170" s="275" t="s">
        <v>409</v>
      </c>
      <c r="D2170" s="248"/>
      <c r="E2170" s="214"/>
      <c r="F2170" s="167">
        <f t="shared" si="92"/>
        <v>0</v>
      </c>
    </row>
    <row r="2171" spans="1:6" ht="20.25" hidden="1">
      <c r="A2171" s="244"/>
      <c r="B2171" s="220" t="s">
        <v>410</v>
      </c>
      <c r="C2171" s="275" t="s">
        <v>411</v>
      </c>
      <c r="D2171" s="248"/>
      <c r="E2171" s="214"/>
      <c r="F2171" s="167">
        <f t="shared" si="92"/>
        <v>0</v>
      </c>
    </row>
    <row r="2172" spans="1:6" ht="20.25">
      <c r="A2172" s="244"/>
      <c r="B2172" s="220" t="s">
        <v>140</v>
      </c>
      <c r="C2172" s="275" t="s">
        <v>621</v>
      </c>
      <c r="D2172" s="248">
        <f>5510+1704+165</f>
        <v>7379</v>
      </c>
      <c r="E2172" s="214"/>
      <c r="F2172" s="167">
        <f t="shared" si="92"/>
        <v>7379</v>
      </c>
    </row>
    <row r="2173" spans="1:6" ht="20.25" hidden="1">
      <c r="A2173" s="244"/>
      <c r="B2173" s="220" t="s">
        <v>412</v>
      </c>
      <c r="C2173" s="275" t="s">
        <v>413</v>
      </c>
      <c r="D2173" s="248"/>
      <c r="E2173" s="214"/>
      <c r="F2173" s="167">
        <f t="shared" si="92"/>
        <v>0</v>
      </c>
    </row>
    <row r="2174" spans="1:6" ht="20.25" hidden="1">
      <c r="A2174" s="244"/>
      <c r="B2174" s="220" t="s">
        <v>414</v>
      </c>
      <c r="C2174" s="275" t="s">
        <v>415</v>
      </c>
      <c r="D2174" s="248"/>
      <c r="E2174" s="214"/>
      <c r="F2174" s="167">
        <f t="shared" si="92"/>
        <v>0</v>
      </c>
    </row>
    <row r="2175" spans="1:6" ht="20.25" hidden="1">
      <c r="A2175" s="244"/>
      <c r="B2175" s="220" t="s">
        <v>574</v>
      </c>
      <c r="C2175" s="275" t="s">
        <v>575</v>
      </c>
      <c r="D2175" s="248"/>
      <c r="E2175" s="214"/>
      <c r="F2175" s="167">
        <f t="shared" si="92"/>
        <v>0</v>
      </c>
    </row>
    <row r="2176" spans="1:6" ht="20.25" hidden="1">
      <c r="A2176" s="244"/>
      <c r="B2176" s="220" t="s">
        <v>416</v>
      </c>
      <c r="C2176" s="275" t="s">
        <v>417</v>
      </c>
      <c r="D2176" s="248"/>
      <c r="E2176" s="214"/>
      <c r="F2176" s="167">
        <f t="shared" si="92"/>
        <v>0</v>
      </c>
    </row>
    <row r="2177" spans="1:6" ht="20.25" hidden="1">
      <c r="A2177" s="244"/>
      <c r="B2177" s="220" t="s">
        <v>418</v>
      </c>
      <c r="C2177" s="275" t="s">
        <v>1064</v>
      </c>
      <c r="D2177" s="248"/>
      <c r="E2177" s="214"/>
      <c r="F2177" s="167">
        <f t="shared" si="92"/>
        <v>0</v>
      </c>
    </row>
    <row r="2178" spans="1:6" ht="20.25">
      <c r="A2178" s="244"/>
      <c r="B2178" s="220" t="s">
        <v>414</v>
      </c>
      <c r="C2178" s="275" t="s">
        <v>415</v>
      </c>
      <c r="D2178" s="248">
        <v>100</v>
      </c>
      <c r="E2178" s="214"/>
      <c r="F2178" s="167">
        <f t="shared" si="92"/>
        <v>100</v>
      </c>
    </row>
    <row r="2179" spans="1:6" ht="20.25" hidden="1">
      <c r="A2179" s="244"/>
      <c r="B2179" s="220" t="s">
        <v>420</v>
      </c>
      <c r="C2179" s="275" t="s">
        <v>421</v>
      </c>
      <c r="D2179" s="248"/>
      <c r="E2179" s="214"/>
      <c r="F2179" s="167">
        <f t="shared" si="92"/>
        <v>0</v>
      </c>
    </row>
    <row r="2180" spans="1:6" ht="20.25">
      <c r="A2180" s="244" t="s">
        <v>141</v>
      </c>
      <c r="B2180" s="220"/>
      <c r="C2180" s="224" t="s">
        <v>142</v>
      </c>
      <c r="D2180" s="367">
        <f>D2181+D2182+D2183</f>
        <v>210</v>
      </c>
      <c r="E2180" s="414">
        <f>E2181+E2182+E2183</f>
        <v>62000</v>
      </c>
      <c r="F2180" s="167">
        <f t="shared" si="92"/>
        <v>62210</v>
      </c>
    </row>
    <row r="2181" spans="1:6" ht="20.25" hidden="1">
      <c r="A2181" s="244"/>
      <c r="B2181" s="220" t="s">
        <v>576</v>
      </c>
      <c r="C2181" s="275" t="s">
        <v>577</v>
      </c>
      <c r="D2181" s="248"/>
      <c r="E2181" s="214"/>
      <c r="F2181" s="167">
        <f t="shared" si="92"/>
        <v>0</v>
      </c>
    </row>
    <row r="2182" spans="1:6" ht="20.25" hidden="1">
      <c r="A2182" s="244"/>
      <c r="B2182" s="220" t="s">
        <v>578</v>
      </c>
      <c r="C2182" s="275" t="s">
        <v>579</v>
      </c>
      <c r="D2182" s="248"/>
      <c r="E2182" s="214"/>
      <c r="F2182" s="167">
        <f t="shared" si="92"/>
        <v>0</v>
      </c>
    </row>
    <row r="2183" spans="1:6" ht="20.25" customHeight="1">
      <c r="A2183" s="244"/>
      <c r="B2183" s="220" t="s">
        <v>143</v>
      </c>
      <c r="C2183" s="275" t="s">
        <v>144</v>
      </c>
      <c r="D2183" s="248">
        <f>200+10</f>
        <v>210</v>
      </c>
      <c r="E2183" s="214">
        <v>62000</v>
      </c>
      <c r="F2183" s="167">
        <f t="shared" si="92"/>
        <v>62210</v>
      </c>
    </row>
    <row r="2184" spans="1:6" ht="20.25" hidden="1">
      <c r="A2184" s="244" t="s">
        <v>422</v>
      </c>
      <c r="B2184" s="396"/>
      <c r="C2184" s="224" t="s">
        <v>423</v>
      </c>
      <c r="D2184" s="248"/>
      <c r="E2184" s="214"/>
      <c r="F2184" s="167">
        <f t="shared" ref="F2184:F2248" si="93">D2184+E2184</f>
        <v>0</v>
      </c>
    </row>
    <row r="2185" spans="1:6" ht="20.25" hidden="1">
      <c r="A2185" s="244" t="s">
        <v>145</v>
      </c>
      <c r="B2185" s="396"/>
      <c r="C2185" s="224" t="s">
        <v>580</v>
      </c>
      <c r="D2185" s="248"/>
      <c r="E2185" s="214"/>
      <c r="F2185" s="167">
        <f t="shared" si="93"/>
        <v>0</v>
      </c>
    </row>
    <row r="2186" spans="1:6" ht="20.25" hidden="1">
      <c r="A2186" s="271"/>
      <c r="B2186" s="474"/>
      <c r="C2186" s="224"/>
      <c r="D2186" s="248"/>
      <c r="E2186" s="214"/>
      <c r="F2186" s="167">
        <f t="shared" si="93"/>
        <v>0</v>
      </c>
    </row>
    <row r="2187" spans="1:6" ht="20.25">
      <c r="A2187" s="255"/>
      <c r="B2187" s="264" t="s">
        <v>146</v>
      </c>
      <c r="C2187" s="202" t="s">
        <v>581</v>
      </c>
      <c r="D2187" s="350">
        <f>D2224+D2225+D2227+D2228+D2229+D2230+D2233</f>
        <v>29951</v>
      </c>
      <c r="E2187" s="409">
        <f>E2224+E2225+E2227+E2228+E2229+E2230+E2233</f>
        <v>0</v>
      </c>
      <c r="F2187" s="167">
        <f t="shared" si="93"/>
        <v>29951</v>
      </c>
    </row>
    <row r="2188" spans="1:6" ht="20.25">
      <c r="A2188" s="247" t="s">
        <v>99</v>
      </c>
      <c r="B2188" s="474"/>
      <c r="C2188" s="235" t="s">
        <v>49</v>
      </c>
      <c r="D2188" s="367">
        <f>D2189+D2190+D2199+D2200+D2202+D2207</f>
        <v>22533</v>
      </c>
      <c r="E2188" s="414">
        <f>E2189+E2190+E2200+E2202+E2207</f>
        <v>0</v>
      </c>
      <c r="F2188" s="167">
        <f t="shared" si="93"/>
        <v>22533</v>
      </c>
    </row>
    <row r="2189" spans="1:6" ht="20.25" hidden="1">
      <c r="A2189" s="204" t="s">
        <v>561</v>
      </c>
      <c r="B2189" s="474"/>
      <c r="C2189" s="235">
        <v>10</v>
      </c>
      <c r="D2189" s="248"/>
      <c r="E2189" s="214"/>
      <c r="F2189" s="167">
        <f t="shared" si="93"/>
        <v>0</v>
      </c>
    </row>
    <row r="2190" spans="1:6" ht="20.25" hidden="1">
      <c r="A2190" s="206" t="s">
        <v>562</v>
      </c>
      <c r="B2190" s="474"/>
      <c r="C2190" s="224">
        <v>20</v>
      </c>
      <c r="D2190" s="248"/>
      <c r="E2190" s="214"/>
      <c r="F2190" s="167">
        <f t="shared" si="93"/>
        <v>0</v>
      </c>
    </row>
    <row r="2191" spans="1:6" ht="20.25" hidden="1">
      <c r="A2191" s="219" t="s">
        <v>591</v>
      </c>
      <c r="B2191" s="474"/>
      <c r="C2191" s="235" t="s">
        <v>592</v>
      </c>
      <c r="D2191" s="248"/>
      <c r="E2191" s="214"/>
      <c r="F2191" s="167">
        <f t="shared" si="93"/>
        <v>0</v>
      </c>
    </row>
    <row r="2192" spans="1:6" ht="20.25" hidden="1">
      <c r="A2192" s="215"/>
      <c r="B2192" s="474"/>
      <c r="C2192" s="224" t="s">
        <v>56</v>
      </c>
      <c r="D2192" s="248"/>
      <c r="E2192" s="214"/>
      <c r="F2192" s="167">
        <f t="shared" si="93"/>
        <v>0</v>
      </c>
    </row>
    <row r="2193" spans="1:6" ht="20.25" hidden="1">
      <c r="A2193" s="215"/>
      <c r="B2193" s="222" t="s">
        <v>100</v>
      </c>
      <c r="C2193" s="235" t="s">
        <v>58</v>
      </c>
      <c r="D2193" s="248"/>
      <c r="E2193" s="214"/>
      <c r="F2193" s="167">
        <f t="shared" si="93"/>
        <v>0</v>
      </c>
    </row>
    <row r="2194" spans="1:6" ht="20.25" hidden="1">
      <c r="A2194" s="219" t="s">
        <v>612</v>
      </c>
      <c r="B2194" s="474"/>
      <c r="C2194" s="235" t="s">
        <v>159</v>
      </c>
      <c r="D2194" s="248"/>
      <c r="E2194" s="214"/>
      <c r="F2194" s="167">
        <f t="shared" si="93"/>
        <v>0</v>
      </c>
    </row>
    <row r="2195" spans="1:6" ht="20.25" hidden="1">
      <c r="A2195" s="215"/>
      <c r="B2195" s="474" t="s">
        <v>353</v>
      </c>
      <c r="C2195" s="235" t="s">
        <v>67</v>
      </c>
      <c r="D2195" s="248"/>
      <c r="E2195" s="214"/>
      <c r="F2195" s="167">
        <f t="shared" si="93"/>
        <v>0</v>
      </c>
    </row>
    <row r="2196" spans="1:6" ht="20.25" hidden="1">
      <c r="A2196" s="215"/>
      <c r="B2196" s="222" t="s">
        <v>424</v>
      </c>
      <c r="C2196" s="235" t="s">
        <v>256</v>
      </c>
      <c r="D2196" s="248"/>
      <c r="E2196" s="214"/>
      <c r="F2196" s="167">
        <f t="shared" si="93"/>
        <v>0</v>
      </c>
    </row>
    <row r="2197" spans="1:6" ht="20.25" hidden="1">
      <c r="A2197" s="215"/>
      <c r="B2197" s="220" t="s">
        <v>285</v>
      </c>
      <c r="C2197" s="224" t="s">
        <v>258</v>
      </c>
      <c r="D2197" s="248"/>
      <c r="E2197" s="214"/>
      <c r="F2197" s="167">
        <f t="shared" si="93"/>
        <v>0</v>
      </c>
    </row>
    <row r="2198" spans="1:6" ht="20.25" hidden="1">
      <c r="A2198" s="215"/>
      <c r="B2198" s="222" t="s">
        <v>322</v>
      </c>
      <c r="C2198" s="235" t="s">
        <v>258</v>
      </c>
      <c r="D2198" s="248"/>
      <c r="E2198" s="214"/>
      <c r="F2198" s="167">
        <f t="shared" si="93"/>
        <v>0</v>
      </c>
    </row>
    <row r="2199" spans="1:6" ht="20.25" customHeight="1">
      <c r="A2199" s="546" t="s">
        <v>1065</v>
      </c>
      <c r="B2199" s="529"/>
      <c r="C2199" s="430">
        <v>56</v>
      </c>
      <c r="D2199" s="248">
        <v>22533</v>
      </c>
      <c r="E2199" s="214"/>
      <c r="F2199" s="167">
        <f t="shared" si="93"/>
        <v>22533</v>
      </c>
    </row>
    <row r="2200" spans="1:6" ht="34.5" hidden="1" customHeight="1">
      <c r="A2200" s="520" t="s">
        <v>890</v>
      </c>
      <c r="B2200" s="529"/>
      <c r="C2200" s="235">
        <v>58</v>
      </c>
      <c r="D2200" s="248"/>
      <c r="E2200" s="214"/>
      <c r="F2200" s="167">
        <f t="shared" si="93"/>
        <v>0</v>
      </c>
    </row>
    <row r="2201" spans="1:6" ht="38.25" customHeight="1">
      <c r="A2201" s="522" t="s">
        <v>1002</v>
      </c>
      <c r="B2201" s="529"/>
      <c r="C2201" s="224">
        <v>60</v>
      </c>
      <c r="D2201" s="248">
        <v>4810</v>
      </c>
      <c r="E2201" s="214"/>
      <c r="F2201" s="167">
        <f t="shared" si="93"/>
        <v>4810</v>
      </c>
    </row>
    <row r="2202" spans="1:6" ht="20.25" hidden="1">
      <c r="A2202" s="219" t="s">
        <v>316</v>
      </c>
      <c r="B2202" s="474"/>
      <c r="C2202" s="235">
        <v>57</v>
      </c>
      <c r="D2202" s="248">
        <f>D2203</f>
        <v>0</v>
      </c>
      <c r="E2202" s="214">
        <f>E2203</f>
        <v>0</v>
      </c>
      <c r="F2202" s="167">
        <f t="shared" si="93"/>
        <v>0</v>
      </c>
    </row>
    <row r="2203" spans="1:6" ht="20.25" hidden="1">
      <c r="A2203" s="225" t="s">
        <v>147</v>
      </c>
      <c r="B2203" s="474"/>
      <c r="C2203" s="235" t="s">
        <v>70</v>
      </c>
      <c r="D2203" s="367">
        <f>D2204+D2205+D2206</f>
        <v>0</v>
      </c>
      <c r="E2203" s="414">
        <f>E2204+E2205+E2206</f>
        <v>0</v>
      </c>
      <c r="F2203" s="167">
        <f t="shared" si="93"/>
        <v>0</v>
      </c>
    </row>
    <row r="2204" spans="1:6" ht="20.25" hidden="1">
      <c r="A2204" s="215"/>
      <c r="B2204" s="475" t="s">
        <v>71</v>
      </c>
      <c r="C2204" s="235" t="s">
        <v>72</v>
      </c>
      <c r="D2204" s="248"/>
      <c r="E2204" s="214"/>
      <c r="F2204" s="167">
        <f t="shared" si="93"/>
        <v>0</v>
      </c>
    </row>
    <row r="2205" spans="1:6" ht="20.25" hidden="1">
      <c r="A2205" s="215"/>
      <c r="B2205" s="475" t="s">
        <v>126</v>
      </c>
      <c r="C2205" s="235" t="s">
        <v>74</v>
      </c>
      <c r="D2205" s="248"/>
      <c r="E2205" s="214"/>
      <c r="F2205" s="167">
        <f t="shared" si="93"/>
        <v>0</v>
      </c>
    </row>
    <row r="2206" spans="1:6" ht="20.25" hidden="1">
      <c r="A2206" s="215"/>
      <c r="B2206" s="475" t="s">
        <v>314</v>
      </c>
      <c r="C2206" s="224" t="s">
        <v>292</v>
      </c>
      <c r="D2206" s="248"/>
      <c r="E2206" s="214"/>
      <c r="F2206" s="167">
        <f t="shared" si="93"/>
        <v>0</v>
      </c>
    </row>
    <row r="2207" spans="1:6" ht="20.25" hidden="1">
      <c r="A2207" s="237" t="s">
        <v>319</v>
      </c>
      <c r="B2207" s="474"/>
      <c r="C2207" s="235">
        <v>59</v>
      </c>
      <c r="D2207" s="248"/>
      <c r="E2207" s="214"/>
      <c r="F2207" s="167">
        <f t="shared" si="93"/>
        <v>0</v>
      </c>
    </row>
    <row r="2208" spans="1:6" ht="20.25" hidden="1">
      <c r="A2208" s="227" t="s">
        <v>136</v>
      </c>
      <c r="B2208" s="474"/>
      <c r="C2208" s="235" t="s">
        <v>619</v>
      </c>
      <c r="D2208" s="248"/>
      <c r="E2208" s="214"/>
      <c r="F2208" s="167">
        <f t="shared" si="93"/>
        <v>0</v>
      </c>
    </row>
    <row r="2209" spans="1:6" ht="20.25">
      <c r="A2209" s="261" t="s">
        <v>116</v>
      </c>
      <c r="B2209" s="474"/>
      <c r="C2209" s="224">
        <v>70</v>
      </c>
      <c r="D2209" s="367">
        <f>D2210</f>
        <v>2608</v>
      </c>
      <c r="E2209" s="414">
        <f>E2210</f>
        <v>0</v>
      </c>
      <c r="F2209" s="167">
        <f t="shared" si="93"/>
        <v>2608</v>
      </c>
    </row>
    <row r="2210" spans="1:6" ht="20.25">
      <c r="A2210" s="226" t="s">
        <v>1014</v>
      </c>
      <c r="B2210" s="474"/>
      <c r="C2210" s="224">
        <v>71</v>
      </c>
      <c r="D2210" s="248">
        <f>2274+334</f>
        <v>2608</v>
      </c>
      <c r="E2210" s="214"/>
      <c r="F2210" s="167">
        <f t="shared" si="93"/>
        <v>2608</v>
      </c>
    </row>
    <row r="2211" spans="1:6" ht="20.25" hidden="1">
      <c r="A2211" s="219" t="s">
        <v>127</v>
      </c>
      <c r="B2211" s="474"/>
      <c r="C2211" s="224" t="s">
        <v>80</v>
      </c>
      <c r="D2211" s="248"/>
      <c r="E2211" s="214"/>
      <c r="F2211" s="167">
        <f t="shared" si="93"/>
        <v>0</v>
      </c>
    </row>
    <row r="2212" spans="1:6" ht="20.25" hidden="1">
      <c r="A2212" s="219"/>
      <c r="B2212" s="218" t="s">
        <v>81</v>
      </c>
      <c r="C2212" s="241" t="s">
        <v>82</v>
      </c>
      <c r="D2212" s="248"/>
      <c r="E2212" s="214"/>
      <c r="F2212" s="167">
        <f t="shared" si="93"/>
        <v>0</v>
      </c>
    </row>
    <row r="2213" spans="1:6" ht="20.25" hidden="1">
      <c r="A2213" s="219"/>
      <c r="B2213" s="220" t="s">
        <v>83</v>
      </c>
      <c r="C2213" s="241" t="s">
        <v>84</v>
      </c>
      <c r="D2213" s="248"/>
      <c r="E2213" s="214"/>
      <c r="F2213" s="167">
        <f t="shared" si="93"/>
        <v>0</v>
      </c>
    </row>
    <row r="2214" spans="1:6" ht="20.25" hidden="1">
      <c r="A2214" s="219"/>
      <c r="B2214" s="220" t="s">
        <v>94</v>
      </c>
      <c r="C2214" s="241" t="s">
        <v>86</v>
      </c>
      <c r="D2214" s="248"/>
      <c r="E2214" s="214"/>
      <c r="F2214" s="167">
        <f t="shared" si="93"/>
        <v>0</v>
      </c>
    </row>
    <row r="2215" spans="1:6" ht="20.25" hidden="1">
      <c r="A2215" s="219"/>
      <c r="B2215" s="220" t="s">
        <v>87</v>
      </c>
      <c r="C2215" s="241" t="s">
        <v>88</v>
      </c>
      <c r="D2215" s="248"/>
      <c r="E2215" s="214"/>
      <c r="F2215" s="167">
        <f t="shared" si="93"/>
        <v>0</v>
      </c>
    </row>
    <row r="2216" spans="1:6" ht="20.25" hidden="1">
      <c r="A2216" s="526" t="s">
        <v>268</v>
      </c>
      <c r="B2216" s="529"/>
      <c r="C2216" s="241" t="s">
        <v>269</v>
      </c>
      <c r="D2216" s="248"/>
      <c r="E2216" s="214"/>
      <c r="F2216" s="167">
        <f t="shared" si="93"/>
        <v>0</v>
      </c>
    </row>
    <row r="2217" spans="1:6" ht="20.25" hidden="1">
      <c r="A2217" s="215"/>
      <c r="B2217" s="220"/>
      <c r="C2217" s="224">
        <v>79</v>
      </c>
      <c r="D2217" s="248"/>
      <c r="E2217" s="214"/>
      <c r="F2217" s="167">
        <f t="shared" si="93"/>
        <v>0</v>
      </c>
    </row>
    <row r="2218" spans="1:6" ht="20.25" hidden="1">
      <c r="A2218" s="219"/>
      <c r="B2218" s="220" t="s">
        <v>924</v>
      </c>
      <c r="C2218" s="224">
        <v>81</v>
      </c>
      <c r="D2218" s="248">
        <f>D2219+D2220</f>
        <v>0</v>
      </c>
      <c r="E2218" s="214">
        <f>E2219+E2220</f>
        <v>0</v>
      </c>
      <c r="F2218" s="167">
        <f t="shared" si="93"/>
        <v>0</v>
      </c>
    </row>
    <row r="2219" spans="1:6" ht="20.25" hidden="1">
      <c r="A2219" s="206" t="s">
        <v>629</v>
      </c>
      <c r="B2219" s="220"/>
      <c r="C2219" s="224" t="s">
        <v>602</v>
      </c>
      <c r="D2219" s="248">
        <v>0</v>
      </c>
      <c r="E2219" s="214">
        <v>0</v>
      </c>
      <c r="F2219" s="167">
        <f t="shared" si="93"/>
        <v>0</v>
      </c>
    </row>
    <row r="2220" spans="1:6" ht="35.25" hidden="1" customHeight="1">
      <c r="A2220" s="524" t="s">
        <v>887</v>
      </c>
      <c r="B2220" s="529"/>
      <c r="C2220" s="224">
        <v>81.040000000000006</v>
      </c>
      <c r="D2220" s="248"/>
      <c r="E2220" s="214"/>
      <c r="F2220" s="167">
        <f t="shared" si="93"/>
        <v>0</v>
      </c>
    </row>
    <row r="2221" spans="1:6" ht="20.25" hidden="1" customHeight="1">
      <c r="A2221" s="206" t="s">
        <v>661</v>
      </c>
      <c r="B2221" s="220"/>
      <c r="C2221" s="224">
        <v>85</v>
      </c>
      <c r="D2221" s="367">
        <f>D2222</f>
        <v>0</v>
      </c>
      <c r="E2221" s="414">
        <f>E2222</f>
        <v>0</v>
      </c>
      <c r="F2221" s="167">
        <f t="shared" si="93"/>
        <v>0</v>
      </c>
    </row>
    <row r="2222" spans="1:6" ht="20.25" hidden="1">
      <c r="A2222" s="206"/>
      <c r="B2222" s="220" t="s">
        <v>311</v>
      </c>
      <c r="C2222" s="224" t="s">
        <v>312</v>
      </c>
      <c r="D2222" s="248"/>
      <c r="E2222" s="214"/>
      <c r="F2222" s="167">
        <f t="shared" si="93"/>
        <v>0</v>
      </c>
    </row>
    <row r="2223" spans="1:6" ht="20.25" hidden="1">
      <c r="A2223" s="242"/>
      <c r="B2223" s="243"/>
      <c r="C2223" s="224"/>
      <c r="D2223" s="248"/>
      <c r="E2223" s="214"/>
      <c r="F2223" s="167">
        <f t="shared" si="93"/>
        <v>0</v>
      </c>
    </row>
    <row r="2224" spans="1:6" ht="20.25">
      <c r="A2224" s="244" t="s">
        <v>582</v>
      </c>
      <c r="B2224" s="475"/>
      <c r="C2224" s="224" t="s">
        <v>583</v>
      </c>
      <c r="D2224" s="248">
        <v>26</v>
      </c>
      <c r="E2224" s="214"/>
      <c r="F2224" s="167">
        <f t="shared" si="93"/>
        <v>26</v>
      </c>
    </row>
    <row r="2225" spans="1:6" ht="20.25" hidden="1">
      <c r="A2225" s="236" t="s">
        <v>148</v>
      </c>
      <c r="B2225" s="475"/>
      <c r="C2225" s="224" t="s">
        <v>149</v>
      </c>
      <c r="D2225" s="367"/>
      <c r="E2225" s="414">
        <f>E2226</f>
        <v>0</v>
      </c>
      <c r="F2225" s="167">
        <f t="shared" si="93"/>
        <v>0</v>
      </c>
    </row>
    <row r="2226" spans="1:6" ht="20.25" hidden="1">
      <c r="A2226" s="236"/>
      <c r="B2226" s="475" t="s">
        <v>150</v>
      </c>
      <c r="C2226" s="224" t="s">
        <v>630</v>
      </c>
      <c r="D2226" s="248"/>
      <c r="E2226" s="214"/>
      <c r="F2226" s="167">
        <f t="shared" si="93"/>
        <v>0</v>
      </c>
    </row>
    <row r="2227" spans="1:6" ht="20.25">
      <c r="A2227" s="236" t="s">
        <v>151</v>
      </c>
      <c r="B2227" s="220"/>
      <c r="C2227" s="224" t="s">
        <v>152</v>
      </c>
      <c r="D2227" s="248">
        <f>115+12</f>
        <v>127</v>
      </c>
      <c r="E2227" s="214"/>
      <c r="F2227" s="167">
        <f t="shared" si="93"/>
        <v>127</v>
      </c>
    </row>
    <row r="2228" spans="1:6" ht="20.25" hidden="1">
      <c r="A2228" s="236" t="s">
        <v>425</v>
      </c>
      <c r="B2228" s="220"/>
      <c r="C2228" s="224" t="s">
        <v>426</v>
      </c>
      <c r="D2228" s="248"/>
      <c r="E2228" s="214"/>
      <c r="F2228" s="167">
        <f t="shared" si="93"/>
        <v>0</v>
      </c>
    </row>
    <row r="2229" spans="1:6" ht="20.25" hidden="1">
      <c r="A2229" s="236" t="s">
        <v>153</v>
      </c>
      <c r="B2229" s="220"/>
      <c r="C2229" s="224" t="s">
        <v>584</v>
      </c>
      <c r="D2229" s="248">
        <v>0</v>
      </c>
      <c r="E2229" s="214"/>
      <c r="F2229" s="167">
        <f t="shared" si="93"/>
        <v>0</v>
      </c>
    </row>
    <row r="2230" spans="1:6" ht="19.5" customHeight="1">
      <c r="A2230" s="236" t="s">
        <v>154</v>
      </c>
      <c r="B2230" s="220"/>
      <c r="C2230" s="224" t="s">
        <v>155</v>
      </c>
      <c r="D2230" s="367">
        <f>SUM(D2231:D2232)</f>
        <v>209</v>
      </c>
      <c r="E2230" s="414">
        <f>SUM(E2231:E2232)</f>
        <v>0</v>
      </c>
      <c r="F2230" s="167">
        <f t="shared" si="93"/>
        <v>209</v>
      </c>
    </row>
    <row r="2231" spans="1:6" ht="20.25" hidden="1">
      <c r="A2231" s="236"/>
      <c r="B2231" s="475" t="s">
        <v>156</v>
      </c>
      <c r="C2231" s="224" t="s">
        <v>585</v>
      </c>
      <c r="D2231" s="248"/>
      <c r="E2231" s="214"/>
      <c r="F2231" s="167">
        <f t="shared" si="93"/>
        <v>0</v>
      </c>
    </row>
    <row r="2232" spans="1:6" ht="20.25">
      <c r="A2232" s="236"/>
      <c r="B2232" s="475" t="s">
        <v>586</v>
      </c>
      <c r="C2232" s="224" t="s">
        <v>587</v>
      </c>
      <c r="D2232" s="248">
        <v>209</v>
      </c>
      <c r="E2232" s="214"/>
      <c r="F2232" s="167">
        <f t="shared" si="93"/>
        <v>209</v>
      </c>
    </row>
    <row r="2233" spans="1:6" ht="20.25">
      <c r="A2233" s="244" t="s">
        <v>588</v>
      </c>
      <c r="B2233" s="220"/>
      <c r="C2233" s="224" t="s">
        <v>589</v>
      </c>
      <c r="D2233" s="248">
        <f>2274+22533+4810-26-115-209+322</f>
        <v>29589</v>
      </c>
      <c r="E2233" s="214"/>
      <c r="F2233" s="167">
        <f t="shared" si="93"/>
        <v>29589</v>
      </c>
    </row>
    <row r="2234" spans="1:6" ht="20.25" hidden="1">
      <c r="A2234" s="271"/>
      <c r="B2234" s="474"/>
      <c r="C2234" s="224"/>
      <c r="D2234" s="248"/>
      <c r="E2234" s="214"/>
      <c r="F2234" s="167">
        <f t="shared" si="93"/>
        <v>0</v>
      </c>
    </row>
    <row r="2235" spans="1:6" ht="20.25" hidden="1">
      <c r="A2235" s="263"/>
      <c r="B2235" s="475"/>
      <c r="C2235" s="224" t="s">
        <v>157</v>
      </c>
      <c r="D2235" s="248"/>
      <c r="E2235" s="214"/>
      <c r="F2235" s="167">
        <f t="shared" si="93"/>
        <v>0</v>
      </c>
    </row>
    <row r="2236" spans="1:6" ht="20.25">
      <c r="A2236" s="263"/>
      <c r="B2236" s="264" t="s">
        <v>158</v>
      </c>
      <c r="C2236" s="202" t="s">
        <v>590</v>
      </c>
      <c r="D2236" s="350">
        <f>D2272+D2275+D2278+D2279+D2280</f>
        <v>169565.86</v>
      </c>
      <c r="E2236" s="409">
        <f>E2272+E2275+E2278+E2279+E2280</f>
        <v>106</v>
      </c>
      <c r="F2236" s="167">
        <f t="shared" si="93"/>
        <v>169671.86</v>
      </c>
    </row>
    <row r="2237" spans="1:6" ht="20.25">
      <c r="A2237" s="247" t="s">
        <v>896</v>
      </c>
      <c r="B2237" s="474"/>
      <c r="C2237" s="235" t="s">
        <v>49</v>
      </c>
      <c r="D2237" s="367">
        <f>D2239+D2240+D2243+D2248+D2250+D2251</f>
        <v>74488.86</v>
      </c>
      <c r="E2237" s="414">
        <f>E2239+E2240+E2243+E2248+E2251</f>
        <v>0</v>
      </c>
      <c r="F2237" s="167">
        <f t="shared" si="93"/>
        <v>74488.86</v>
      </c>
    </row>
    <row r="2238" spans="1:6" ht="20.25" hidden="1">
      <c r="A2238" s="204" t="s">
        <v>561</v>
      </c>
      <c r="B2238" s="474"/>
      <c r="C2238" s="235">
        <v>10</v>
      </c>
      <c r="D2238" s="248"/>
      <c r="E2238" s="214"/>
      <c r="F2238" s="167">
        <f t="shared" si="93"/>
        <v>0</v>
      </c>
    </row>
    <row r="2239" spans="1:6" ht="20.25" hidden="1">
      <c r="A2239" s="206" t="s">
        <v>562</v>
      </c>
      <c r="B2239" s="474"/>
      <c r="C2239" s="224">
        <v>20</v>
      </c>
      <c r="D2239" s="248"/>
      <c r="E2239" s="214"/>
      <c r="F2239" s="167">
        <f t="shared" si="93"/>
        <v>0</v>
      </c>
    </row>
    <row r="2240" spans="1:6" ht="20.25" hidden="1">
      <c r="A2240" s="219" t="s">
        <v>591</v>
      </c>
      <c r="B2240" s="474"/>
      <c r="C2240" s="235" t="s">
        <v>592</v>
      </c>
      <c r="D2240" s="367">
        <f>D2241</f>
        <v>0</v>
      </c>
      <c r="E2240" s="414">
        <f>E2241</f>
        <v>0</v>
      </c>
      <c r="F2240" s="167">
        <f t="shared" si="93"/>
        <v>0</v>
      </c>
    </row>
    <row r="2241" spans="1:6" ht="20.25" hidden="1">
      <c r="A2241" s="219" t="s">
        <v>63</v>
      </c>
      <c r="B2241" s="474"/>
      <c r="C2241" s="224" t="s">
        <v>560</v>
      </c>
      <c r="D2241" s="367">
        <f>D2242</f>
        <v>0</v>
      </c>
      <c r="E2241" s="414">
        <f>E2242</f>
        <v>0</v>
      </c>
      <c r="F2241" s="167">
        <f t="shared" si="93"/>
        <v>0</v>
      </c>
    </row>
    <row r="2242" spans="1:6" ht="20.25" hidden="1">
      <c r="A2242" s="215"/>
      <c r="B2242" s="222" t="s">
        <v>933</v>
      </c>
      <c r="C2242" s="235" t="s">
        <v>655</v>
      </c>
      <c r="D2242" s="248"/>
      <c r="E2242" s="214"/>
      <c r="F2242" s="167">
        <f t="shared" si="93"/>
        <v>0</v>
      </c>
    </row>
    <row r="2243" spans="1:6" ht="20.25">
      <c r="A2243" s="219" t="s">
        <v>623</v>
      </c>
      <c r="B2243" s="474"/>
      <c r="C2243" s="235" t="s">
        <v>159</v>
      </c>
      <c r="D2243" s="367">
        <f>D2244</f>
        <v>667.86</v>
      </c>
      <c r="E2243" s="414">
        <f>E2244</f>
        <v>0</v>
      </c>
      <c r="F2243" s="167">
        <f t="shared" si="93"/>
        <v>667.86</v>
      </c>
    </row>
    <row r="2244" spans="1:6" ht="20.25">
      <c r="A2244" s="219" t="s">
        <v>160</v>
      </c>
      <c r="B2244" s="474"/>
      <c r="C2244" s="235" t="s">
        <v>67</v>
      </c>
      <c r="D2244" s="367">
        <f>D2245+D2246+D2247</f>
        <v>667.86</v>
      </c>
      <c r="E2244" s="414">
        <f>E2245+E2246+E2247</f>
        <v>0</v>
      </c>
      <c r="F2244" s="167">
        <f t="shared" si="93"/>
        <v>667.86</v>
      </c>
    </row>
    <row r="2245" spans="1:6" ht="20.25" hidden="1">
      <c r="A2245" s="219"/>
      <c r="B2245" s="220" t="s">
        <v>346</v>
      </c>
      <c r="C2245" s="224" t="s">
        <v>325</v>
      </c>
      <c r="D2245" s="248"/>
      <c r="E2245" s="214"/>
      <c r="F2245" s="167">
        <f t="shared" si="93"/>
        <v>0</v>
      </c>
    </row>
    <row r="2246" spans="1:6" ht="23.25" hidden="1" customHeight="1">
      <c r="A2246" s="215"/>
      <c r="B2246" s="220" t="s">
        <v>68</v>
      </c>
      <c r="C2246" s="224" t="s">
        <v>622</v>
      </c>
      <c r="D2246" s="248"/>
      <c r="E2246" s="214"/>
      <c r="F2246" s="167">
        <f t="shared" si="93"/>
        <v>0</v>
      </c>
    </row>
    <row r="2247" spans="1:6" ht="24" customHeight="1">
      <c r="A2247" s="215"/>
      <c r="B2247" s="222" t="s">
        <v>347</v>
      </c>
      <c r="C2247" s="224" t="s">
        <v>329</v>
      </c>
      <c r="D2247" s="248">
        <f>565.66+24.2+78</f>
        <v>667.86</v>
      </c>
      <c r="E2247" s="214"/>
      <c r="F2247" s="167">
        <f t="shared" si="93"/>
        <v>667.86</v>
      </c>
    </row>
    <row r="2248" spans="1:6" ht="35.25" hidden="1" customHeight="1">
      <c r="A2248" s="520" t="s">
        <v>321</v>
      </c>
      <c r="B2248" s="529"/>
      <c r="C2248" s="235">
        <v>56</v>
      </c>
      <c r="D2248" s="367">
        <f>D2249</f>
        <v>0</v>
      </c>
      <c r="E2248" s="414">
        <f>E2249</f>
        <v>0</v>
      </c>
      <c r="F2248" s="167">
        <f t="shared" si="93"/>
        <v>0</v>
      </c>
    </row>
    <row r="2249" spans="1:6" ht="20.25" hidden="1">
      <c r="A2249" s="215"/>
      <c r="B2249" s="222" t="s">
        <v>315</v>
      </c>
      <c r="C2249" s="224" t="s">
        <v>324</v>
      </c>
      <c r="D2249" s="248"/>
      <c r="E2249" s="214"/>
      <c r="F2249" s="167">
        <f t="shared" ref="F2249:F2313" si="94">D2249+E2249</f>
        <v>0</v>
      </c>
    </row>
    <row r="2250" spans="1:6" ht="20.25" hidden="1">
      <c r="A2250" s="546" t="s">
        <v>1065</v>
      </c>
      <c r="B2250" s="529"/>
      <c r="C2250" s="430">
        <v>56</v>
      </c>
      <c r="D2250" s="248">
        <f>20016+40300</f>
        <v>60316</v>
      </c>
      <c r="E2250" s="214"/>
      <c r="F2250" s="167"/>
    </row>
    <row r="2251" spans="1:6" ht="36" customHeight="1">
      <c r="A2251" s="522" t="s">
        <v>934</v>
      </c>
      <c r="B2251" s="529"/>
      <c r="C2251" s="224">
        <v>58</v>
      </c>
      <c r="D2251" s="248">
        <f>12545+960</f>
        <v>13505</v>
      </c>
      <c r="E2251" s="214"/>
      <c r="F2251" s="167">
        <f t="shared" si="94"/>
        <v>13505</v>
      </c>
    </row>
    <row r="2252" spans="1:6" ht="39" customHeight="1">
      <c r="A2252" s="522" t="s">
        <v>1002</v>
      </c>
      <c r="B2252" s="529"/>
      <c r="C2252" s="224">
        <v>60</v>
      </c>
      <c r="D2252" s="248">
        <v>6736</v>
      </c>
      <c r="E2252" s="214"/>
      <c r="F2252" s="167">
        <f t="shared" si="94"/>
        <v>6736</v>
      </c>
    </row>
    <row r="2253" spans="1:6" ht="37.5" customHeight="1">
      <c r="A2253" s="522" t="s">
        <v>1013</v>
      </c>
      <c r="B2253" s="529"/>
      <c r="C2253" s="224">
        <v>61</v>
      </c>
      <c r="D2253" s="248">
        <f>44146+12434</f>
        <v>56580</v>
      </c>
      <c r="E2253" s="214"/>
      <c r="F2253" s="167">
        <f t="shared" si="94"/>
        <v>56580</v>
      </c>
    </row>
    <row r="2254" spans="1:6" ht="20.25" customHeight="1">
      <c r="A2254" s="261" t="s">
        <v>116</v>
      </c>
      <c r="B2254" s="474"/>
      <c r="C2254" s="224">
        <v>70</v>
      </c>
      <c r="D2254" s="367">
        <f>D2255</f>
        <v>23339</v>
      </c>
      <c r="E2254" s="414">
        <f>E2255</f>
        <v>106</v>
      </c>
      <c r="F2254" s="167">
        <f t="shared" si="94"/>
        <v>23445</v>
      </c>
    </row>
    <row r="2255" spans="1:6" ht="20.25">
      <c r="A2255" s="226" t="s">
        <v>1019</v>
      </c>
      <c r="B2255" s="474"/>
      <c r="C2255" s="224">
        <v>71</v>
      </c>
      <c r="D2255" s="248">
        <f>20148+100+20-150+2195+1026</f>
        <v>23339</v>
      </c>
      <c r="E2255" s="214">
        <f>100+10-15+11</f>
        <v>106</v>
      </c>
      <c r="F2255" s="167">
        <f t="shared" si="94"/>
        <v>23445</v>
      </c>
    </row>
    <row r="2256" spans="1:6" ht="20.25" hidden="1">
      <c r="A2256" s="219" t="s">
        <v>110</v>
      </c>
      <c r="B2256" s="474"/>
      <c r="C2256" s="224" t="s">
        <v>80</v>
      </c>
      <c r="D2256" s="248"/>
      <c r="E2256" s="214"/>
      <c r="F2256" s="167">
        <f t="shared" si="94"/>
        <v>0</v>
      </c>
    </row>
    <row r="2257" spans="1:6" ht="20.25" hidden="1">
      <c r="A2257" s="219"/>
      <c r="B2257" s="218" t="s">
        <v>81</v>
      </c>
      <c r="C2257" s="241" t="s">
        <v>82</v>
      </c>
      <c r="D2257" s="248"/>
      <c r="E2257" s="214"/>
      <c r="F2257" s="167">
        <f t="shared" si="94"/>
        <v>0</v>
      </c>
    </row>
    <row r="2258" spans="1:6" ht="20.25" hidden="1">
      <c r="A2258" s="219"/>
      <c r="B2258" s="220" t="s">
        <v>83</v>
      </c>
      <c r="C2258" s="241" t="s">
        <v>84</v>
      </c>
      <c r="D2258" s="248"/>
      <c r="E2258" s="214"/>
      <c r="F2258" s="167">
        <f t="shared" si="94"/>
        <v>0</v>
      </c>
    </row>
    <row r="2259" spans="1:6" ht="20.25" hidden="1">
      <c r="A2259" s="219"/>
      <c r="B2259" s="220" t="s">
        <v>94</v>
      </c>
      <c r="C2259" s="241" t="s">
        <v>86</v>
      </c>
      <c r="D2259" s="248"/>
      <c r="E2259" s="214"/>
      <c r="F2259" s="167">
        <f t="shared" si="94"/>
        <v>0</v>
      </c>
    </row>
    <row r="2260" spans="1:6" ht="20.25" hidden="1">
      <c r="A2260" s="219"/>
      <c r="B2260" s="220" t="s">
        <v>87</v>
      </c>
      <c r="C2260" s="241" t="s">
        <v>88</v>
      </c>
      <c r="D2260" s="248"/>
      <c r="E2260" s="214"/>
      <c r="F2260" s="167">
        <f t="shared" si="94"/>
        <v>0</v>
      </c>
    </row>
    <row r="2261" spans="1:6" ht="20.25" hidden="1">
      <c r="A2261" s="526" t="s">
        <v>268</v>
      </c>
      <c r="B2261" s="529"/>
      <c r="C2261" s="241" t="s">
        <v>269</v>
      </c>
      <c r="D2261" s="248"/>
      <c r="E2261" s="214"/>
      <c r="F2261" s="167">
        <f t="shared" si="94"/>
        <v>0</v>
      </c>
    </row>
    <row r="2262" spans="1:6" ht="20.25" hidden="1">
      <c r="A2262" s="219"/>
      <c r="B2262" s="218"/>
      <c r="C2262" s="224">
        <v>72</v>
      </c>
      <c r="D2262" s="248"/>
      <c r="E2262" s="214"/>
      <c r="F2262" s="167">
        <f t="shared" si="94"/>
        <v>0</v>
      </c>
    </row>
    <row r="2263" spans="1:6" ht="20.25" hidden="1">
      <c r="A2263" s="229" t="s">
        <v>270</v>
      </c>
      <c r="B2263" s="218"/>
      <c r="C2263" s="224" t="s">
        <v>271</v>
      </c>
      <c r="D2263" s="248"/>
      <c r="E2263" s="214"/>
      <c r="F2263" s="167">
        <f t="shared" si="94"/>
        <v>0</v>
      </c>
    </row>
    <row r="2264" spans="1:6" ht="20.25" hidden="1">
      <c r="A2264" s="229"/>
      <c r="B2264" s="220" t="s">
        <v>427</v>
      </c>
      <c r="C2264" s="224" t="s">
        <v>273</v>
      </c>
      <c r="D2264" s="248"/>
      <c r="E2264" s="214"/>
      <c r="F2264" s="167">
        <f t="shared" si="94"/>
        <v>0</v>
      </c>
    </row>
    <row r="2265" spans="1:6" ht="20.25">
      <c r="A2265" s="215" t="s">
        <v>614</v>
      </c>
      <c r="B2265" s="220"/>
      <c r="C2265" s="224">
        <v>79</v>
      </c>
      <c r="D2265" s="367">
        <f>D2266</f>
        <v>8422</v>
      </c>
      <c r="E2265" s="414">
        <f>E2266</f>
        <v>0</v>
      </c>
      <c r="F2265" s="167">
        <f t="shared" si="94"/>
        <v>8422</v>
      </c>
    </row>
    <row r="2266" spans="1:6" ht="20.25">
      <c r="A2266" s="219" t="s">
        <v>1020</v>
      </c>
      <c r="B2266" s="220"/>
      <c r="C2266" s="224">
        <v>81</v>
      </c>
      <c r="D2266" s="367">
        <f>D2268</f>
        <v>8422</v>
      </c>
      <c r="E2266" s="414">
        <f>E2268</f>
        <v>0</v>
      </c>
      <c r="F2266" s="167">
        <f t="shared" si="94"/>
        <v>8422</v>
      </c>
    </row>
    <row r="2267" spans="1:6" ht="20.25" hidden="1">
      <c r="A2267" s="206" t="s">
        <v>278</v>
      </c>
      <c r="B2267" s="220"/>
      <c r="C2267" s="224" t="s">
        <v>279</v>
      </c>
      <c r="D2267" s="248"/>
      <c r="E2267" s="214"/>
      <c r="F2267" s="167">
        <f t="shared" si="94"/>
        <v>0</v>
      </c>
    </row>
    <row r="2268" spans="1:6" ht="36">
      <c r="A2268" s="206"/>
      <c r="B2268" s="220" t="s">
        <v>887</v>
      </c>
      <c r="C2268" s="224" t="s">
        <v>888</v>
      </c>
      <c r="D2268" s="248">
        <f>4722-534+1711+2523</f>
        <v>8422</v>
      </c>
      <c r="E2268" s="214"/>
      <c r="F2268" s="167">
        <f t="shared" si="94"/>
        <v>8422</v>
      </c>
    </row>
    <row r="2269" spans="1:6" ht="20.25" hidden="1">
      <c r="A2269" s="206"/>
      <c r="B2269" s="220" t="s">
        <v>318</v>
      </c>
      <c r="C2269" s="224">
        <v>85</v>
      </c>
      <c r="D2269" s="367">
        <f>D2270</f>
        <v>0</v>
      </c>
      <c r="E2269" s="414">
        <f>E2270</f>
        <v>0</v>
      </c>
      <c r="F2269" s="167">
        <f t="shared" si="94"/>
        <v>0</v>
      </c>
    </row>
    <row r="2270" spans="1:6" ht="20.25" hidden="1">
      <c r="A2270" s="206"/>
      <c r="B2270" s="220" t="s">
        <v>311</v>
      </c>
      <c r="C2270" s="224" t="s">
        <v>312</v>
      </c>
      <c r="D2270" s="248"/>
      <c r="E2270" s="214"/>
      <c r="F2270" s="167">
        <f t="shared" si="94"/>
        <v>0</v>
      </c>
    </row>
    <row r="2271" spans="1:6" ht="20.25" hidden="1">
      <c r="A2271" s="242"/>
      <c r="B2271" s="243"/>
      <c r="C2271" s="224"/>
      <c r="D2271" s="248"/>
      <c r="E2271" s="214"/>
      <c r="F2271" s="167">
        <f t="shared" si="94"/>
        <v>0</v>
      </c>
    </row>
    <row r="2272" spans="1:6" ht="20.25">
      <c r="A2272" s="244" t="s">
        <v>161</v>
      </c>
      <c r="B2272" s="396"/>
      <c r="C2272" s="224" t="s">
        <v>162</v>
      </c>
      <c r="D2272" s="367">
        <f>D2273+D2274</f>
        <v>81694</v>
      </c>
      <c r="E2272" s="414">
        <f>E2273+E2274</f>
        <v>0</v>
      </c>
      <c r="F2272" s="167">
        <f t="shared" si="94"/>
        <v>81694</v>
      </c>
    </row>
    <row r="2273" spans="1:6" ht="20.25">
      <c r="A2273" s="244"/>
      <c r="B2273" s="220" t="s">
        <v>632</v>
      </c>
      <c r="C2273" s="224" t="s">
        <v>163</v>
      </c>
      <c r="D2273" s="367">
        <f>2600+20016+12545+44146+1214+1173</f>
        <v>81694</v>
      </c>
      <c r="E2273" s="414"/>
      <c r="F2273" s="167">
        <f t="shared" si="94"/>
        <v>81694</v>
      </c>
    </row>
    <row r="2274" spans="1:6" ht="20.25" hidden="1">
      <c r="A2274" s="244"/>
      <c r="B2274" s="475" t="s">
        <v>428</v>
      </c>
      <c r="C2274" s="224" t="s">
        <v>429</v>
      </c>
      <c r="D2274" s="367"/>
      <c r="E2274" s="414"/>
      <c r="F2274" s="167">
        <f t="shared" si="94"/>
        <v>0</v>
      </c>
    </row>
    <row r="2275" spans="1:6" ht="20.25">
      <c r="A2275" s="236" t="s">
        <v>164</v>
      </c>
      <c r="B2275" s="220"/>
      <c r="C2275" s="224" t="s">
        <v>165</v>
      </c>
      <c r="D2275" s="367">
        <f>D2276+D2277</f>
        <v>256.52</v>
      </c>
      <c r="E2275" s="414">
        <f>E2276+E2277</f>
        <v>0</v>
      </c>
      <c r="F2275" s="167">
        <f t="shared" si="94"/>
        <v>256.52</v>
      </c>
    </row>
    <row r="2276" spans="1:6" ht="20.25">
      <c r="A2276" s="236"/>
      <c r="B2276" s="475" t="s">
        <v>633</v>
      </c>
      <c r="C2276" s="224" t="s">
        <v>166</v>
      </c>
      <c r="D2276" s="367">
        <v>256.52</v>
      </c>
      <c r="E2276" s="414"/>
      <c r="F2276" s="167">
        <f t="shared" si="94"/>
        <v>256.52</v>
      </c>
    </row>
    <row r="2277" spans="1:6" ht="20.25" hidden="1">
      <c r="A2277" s="236"/>
      <c r="B2277" s="475" t="s">
        <v>430</v>
      </c>
      <c r="C2277" s="224" t="s">
        <v>431</v>
      </c>
      <c r="D2277" s="248"/>
      <c r="E2277" s="214"/>
      <c r="F2277" s="167">
        <f t="shared" si="94"/>
        <v>0</v>
      </c>
    </row>
    <row r="2278" spans="1:6" ht="20.25">
      <c r="A2278" s="244" t="s">
        <v>167</v>
      </c>
      <c r="B2278" s="475"/>
      <c r="C2278" s="224" t="s">
        <v>168</v>
      </c>
      <c r="D2278" s="367">
        <f>10070+14.14+2014.2</f>
        <v>12098.34</v>
      </c>
      <c r="E2278" s="414"/>
      <c r="F2278" s="167">
        <f t="shared" si="94"/>
        <v>12098.34</v>
      </c>
    </row>
    <row r="2279" spans="1:6" ht="20.25" hidden="1">
      <c r="A2279" s="244" t="s">
        <v>432</v>
      </c>
      <c r="B2279" s="475"/>
      <c r="C2279" s="224" t="s">
        <v>433</v>
      </c>
      <c r="D2279" s="248"/>
      <c r="E2279" s="214"/>
      <c r="F2279" s="167">
        <f t="shared" si="94"/>
        <v>0</v>
      </c>
    </row>
    <row r="2280" spans="1:6" ht="20.25">
      <c r="A2280" s="244" t="s">
        <v>169</v>
      </c>
      <c r="B2280" s="396"/>
      <c r="C2280" s="224" t="s">
        <v>170</v>
      </c>
      <c r="D2280" s="367">
        <f>7478+60430+4722+295-534+100+20-150+702+2454</f>
        <v>75517</v>
      </c>
      <c r="E2280" s="414">
        <f>100+10-15+11</f>
        <v>106</v>
      </c>
      <c r="F2280" s="167">
        <f t="shared" si="94"/>
        <v>75623</v>
      </c>
    </row>
    <row r="2281" spans="1:6" ht="20.25" hidden="1">
      <c r="A2281" s="271"/>
      <c r="B2281" s="474"/>
      <c r="C2281" s="224"/>
      <c r="D2281" s="248"/>
      <c r="E2281" s="214"/>
      <c r="F2281" s="167">
        <f t="shared" si="94"/>
        <v>0</v>
      </c>
    </row>
    <row r="2282" spans="1:6" ht="20.25">
      <c r="A2282" s="272"/>
      <c r="B2282" s="264" t="s">
        <v>171</v>
      </c>
      <c r="C2282" s="202" t="s">
        <v>593</v>
      </c>
      <c r="D2282" s="350">
        <f>D2313+D2316+D2317</f>
        <v>74072.759999999995</v>
      </c>
      <c r="E2282" s="409">
        <f>E2313+E2316+E2317</f>
        <v>277</v>
      </c>
      <c r="F2282" s="167">
        <f t="shared" si="94"/>
        <v>74349.759999999995</v>
      </c>
    </row>
    <row r="2283" spans="1:6" ht="20.25">
      <c r="A2283" s="247" t="s">
        <v>916</v>
      </c>
      <c r="B2283" s="474"/>
      <c r="C2283" s="235" t="s">
        <v>49</v>
      </c>
      <c r="D2283" s="367">
        <f>D2284+D2285+D2286+D2289+D2294</f>
        <v>495.76</v>
      </c>
      <c r="E2283" s="414">
        <f>E2284+E2285+E2286+E2289+E2294</f>
        <v>0</v>
      </c>
      <c r="F2283" s="167">
        <f t="shared" si="94"/>
        <v>495.76</v>
      </c>
    </row>
    <row r="2284" spans="1:6" ht="20.25" hidden="1">
      <c r="A2284" s="204" t="s">
        <v>561</v>
      </c>
      <c r="B2284" s="474"/>
      <c r="C2284" s="235">
        <v>10</v>
      </c>
      <c r="D2284" s="248"/>
      <c r="E2284" s="214"/>
      <c r="F2284" s="167">
        <f t="shared" si="94"/>
        <v>0</v>
      </c>
    </row>
    <row r="2285" spans="1:6" ht="20.25" hidden="1">
      <c r="A2285" s="206" t="s">
        <v>562</v>
      </c>
      <c r="B2285" s="474"/>
      <c r="C2285" s="224">
        <v>20</v>
      </c>
      <c r="D2285" s="248"/>
      <c r="E2285" s="214"/>
      <c r="F2285" s="167">
        <f t="shared" si="94"/>
        <v>0</v>
      </c>
    </row>
    <row r="2286" spans="1:6" ht="20.25" hidden="1">
      <c r="A2286" s="219" t="s">
        <v>434</v>
      </c>
      <c r="B2286" s="474"/>
      <c r="C2286" s="235" t="s">
        <v>592</v>
      </c>
      <c r="D2286" s="248"/>
      <c r="E2286" s="214"/>
      <c r="F2286" s="167">
        <f t="shared" si="94"/>
        <v>0</v>
      </c>
    </row>
    <row r="2287" spans="1:6" ht="20.25" hidden="1">
      <c r="A2287" s="219" t="s">
        <v>55</v>
      </c>
      <c r="B2287" s="474"/>
      <c r="C2287" s="224" t="s">
        <v>56</v>
      </c>
      <c r="D2287" s="248"/>
      <c r="E2287" s="214"/>
      <c r="F2287" s="167">
        <f t="shared" si="94"/>
        <v>0</v>
      </c>
    </row>
    <row r="2288" spans="1:6" ht="20.25" hidden="1">
      <c r="A2288" s="215"/>
      <c r="B2288" s="474"/>
      <c r="C2288" s="224" t="s">
        <v>58</v>
      </c>
      <c r="D2288" s="248"/>
      <c r="E2288" s="214"/>
      <c r="F2288" s="167">
        <f t="shared" si="94"/>
        <v>0</v>
      </c>
    </row>
    <row r="2289" spans="1:6" ht="20.25">
      <c r="A2289" s="219" t="s">
        <v>623</v>
      </c>
      <c r="B2289" s="474"/>
      <c r="C2289" s="235" t="s">
        <v>159</v>
      </c>
      <c r="D2289" s="248">
        <f>D2290</f>
        <v>495.76</v>
      </c>
      <c r="E2289" s="214">
        <f>E2290</f>
        <v>0</v>
      </c>
      <c r="F2289" s="167">
        <f t="shared" si="94"/>
        <v>495.76</v>
      </c>
    </row>
    <row r="2290" spans="1:6" ht="20.25">
      <c r="A2290" s="219" t="s">
        <v>172</v>
      </c>
      <c r="B2290" s="474"/>
      <c r="C2290" s="235" t="s">
        <v>67</v>
      </c>
      <c r="D2290" s="248">
        <f>D2291+D2293</f>
        <v>495.76</v>
      </c>
      <c r="E2290" s="248">
        <f>E2291+E2293</f>
        <v>0</v>
      </c>
      <c r="F2290" s="167">
        <f t="shared" si="94"/>
        <v>495.76</v>
      </c>
    </row>
    <row r="2291" spans="1:6" ht="20.25">
      <c r="A2291" s="236"/>
      <c r="B2291" s="220" t="s">
        <v>435</v>
      </c>
      <c r="C2291" s="224" t="s">
        <v>258</v>
      </c>
      <c r="D2291" s="248">
        <v>350</v>
      </c>
      <c r="E2291" s="214"/>
      <c r="F2291" s="167">
        <f t="shared" si="94"/>
        <v>350</v>
      </c>
    </row>
    <row r="2292" spans="1:6" ht="21.75" hidden="1" customHeight="1">
      <c r="A2292" s="236"/>
      <c r="B2292" s="220" t="s">
        <v>68</v>
      </c>
      <c r="C2292" s="224" t="s">
        <v>622</v>
      </c>
      <c r="D2292" s="248"/>
      <c r="E2292" s="214"/>
      <c r="F2292" s="167">
        <f t="shared" si="94"/>
        <v>0</v>
      </c>
    </row>
    <row r="2293" spans="1:6" ht="20.25">
      <c r="A2293" s="215"/>
      <c r="B2293" s="222" t="s">
        <v>347</v>
      </c>
      <c r="C2293" s="224" t="s">
        <v>329</v>
      </c>
      <c r="D2293" s="248">
        <f>108.76+37</f>
        <v>145.76</v>
      </c>
      <c r="E2293" s="214"/>
      <c r="F2293" s="167">
        <f t="shared" si="94"/>
        <v>145.76</v>
      </c>
    </row>
    <row r="2294" spans="1:6" ht="38.25" hidden="1" customHeight="1">
      <c r="A2294" s="522" t="s">
        <v>934</v>
      </c>
      <c r="B2294" s="529"/>
      <c r="C2294" s="235">
        <v>58</v>
      </c>
      <c r="D2294" s="367"/>
      <c r="E2294" s="414"/>
      <c r="F2294" s="167">
        <f t="shared" si="94"/>
        <v>0</v>
      </c>
    </row>
    <row r="2295" spans="1:6" ht="37.5" customHeight="1">
      <c r="A2295" s="522" t="s">
        <v>1002</v>
      </c>
      <c r="B2295" s="529"/>
      <c r="C2295" s="224">
        <v>60</v>
      </c>
      <c r="D2295" s="248">
        <v>6433</v>
      </c>
      <c r="E2295" s="214"/>
      <c r="F2295" s="167">
        <f t="shared" si="94"/>
        <v>6433</v>
      </c>
    </row>
    <row r="2296" spans="1:6" ht="39" customHeight="1">
      <c r="A2296" s="522" t="s">
        <v>1013</v>
      </c>
      <c r="B2296" s="529"/>
      <c r="C2296" s="224">
        <v>61</v>
      </c>
      <c r="D2296" s="248">
        <v>64731</v>
      </c>
      <c r="E2296" s="214"/>
      <c r="F2296" s="167">
        <f t="shared" si="94"/>
        <v>64731</v>
      </c>
    </row>
    <row r="2297" spans="1:6" ht="20.25">
      <c r="A2297" s="261" t="s">
        <v>116</v>
      </c>
      <c r="B2297" s="474"/>
      <c r="C2297" s="224">
        <v>70</v>
      </c>
      <c r="D2297" s="367">
        <f>D2298</f>
        <v>2413</v>
      </c>
      <c r="E2297" s="414">
        <f>E2298</f>
        <v>277</v>
      </c>
      <c r="F2297" s="167">
        <f t="shared" si="94"/>
        <v>2690</v>
      </c>
    </row>
    <row r="2298" spans="1:6" ht="20.25">
      <c r="A2298" s="226" t="s">
        <v>1014</v>
      </c>
      <c r="B2298" s="474"/>
      <c r="C2298" s="224">
        <v>71</v>
      </c>
      <c r="D2298" s="248">
        <f>2373+30+10</f>
        <v>2413</v>
      </c>
      <c r="E2298" s="214">
        <f>257+20</f>
        <v>277</v>
      </c>
      <c r="F2298" s="167">
        <f t="shared" si="94"/>
        <v>2690</v>
      </c>
    </row>
    <row r="2299" spans="1:6" ht="20.25" hidden="1">
      <c r="A2299" s="219" t="s">
        <v>127</v>
      </c>
      <c r="B2299" s="474"/>
      <c r="C2299" s="224" t="s">
        <v>80</v>
      </c>
      <c r="D2299" s="248"/>
      <c r="E2299" s="214"/>
      <c r="F2299" s="167">
        <f t="shared" si="94"/>
        <v>0</v>
      </c>
    </row>
    <row r="2300" spans="1:6" ht="20.25" hidden="1">
      <c r="A2300" s="219"/>
      <c r="B2300" s="218" t="s">
        <v>81</v>
      </c>
      <c r="C2300" s="241" t="s">
        <v>82</v>
      </c>
      <c r="D2300" s="248"/>
      <c r="E2300" s="214"/>
      <c r="F2300" s="167">
        <f t="shared" si="94"/>
        <v>0</v>
      </c>
    </row>
    <row r="2301" spans="1:6" ht="20.25" hidden="1">
      <c r="A2301" s="219"/>
      <c r="B2301" s="220" t="s">
        <v>83</v>
      </c>
      <c r="C2301" s="241" t="s">
        <v>84</v>
      </c>
      <c r="D2301" s="248"/>
      <c r="E2301" s="214"/>
      <c r="F2301" s="167">
        <f t="shared" si="94"/>
        <v>0</v>
      </c>
    </row>
    <row r="2302" spans="1:6" ht="20.25" hidden="1">
      <c r="A2302" s="219"/>
      <c r="B2302" s="220" t="s">
        <v>94</v>
      </c>
      <c r="C2302" s="241" t="s">
        <v>86</v>
      </c>
      <c r="D2302" s="248"/>
      <c r="E2302" s="214"/>
      <c r="F2302" s="167">
        <f t="shared" si="94"/>
        <v>0</v>
      </c>
    </row>
    <row r="2303" spans="1:6" ht="20.25" hidden="1">
      <c r="A2303" s="219"/>
      <c r="B2303" s="220" t="s">
        <v>87</v>
      </c>
      <c r="C2303" s="241" t="s">
        <v>88</v>
      </c>
      <c r="D2303" s="248"/>
      <c r="E2303" s="214"/>
      <c r="F2303" s="167">
        <f t="shared" si="94"/>
        <v>0</v>
      </c>
    </row>
    <row r="2304" spans="1:6" ht="20.25" hidden="1">
      <c r="A2304" s="526" t="s">
        <v>268</v>
      </c>
      <c r="B2304" s="529"/>
      <c r="C2304" s="241" t="s">
        <v>269</v>
      </c>
      <c r="D2304" s="248"/>
      <c r="E2304" s="214"/>
      <c r="F2304" s="167">
        <f t="shared" si="94"/>
        <v>0</v>
      </c>
    </row>
    <row r="2305" spans="1:6" ht="20.25" hidden="1">
      <c r="A2305" s="219"/>
      <c r="B2305" s="218"/>
      <c r="C2305" s="224">
        <v>72</v>
      </c>
      <c r="D2305" s="248"/>
      <c r="E2305" s="214"/>
      <c r="F2305" s="167">
        <f t="shared" si="94"/>
        <v>0</v>
      </c>
    </row>
    <row r="2306" spans="1:6" ht="20.25" hidden="1">
      <c r="A2306" s="229" t="s">
        <v>270</v>
      </c>
      <c r="B2306" s="218"/>
      <c r="C2306" s="224" t="s">
        <v>271</v>
      </c>
      <c r="D2306" s="248"/>
      <c r="E2306" s="214"/>
      <c r="F2306" s="167">
        <f t="shared" si="94"/>
        <v>0</v>
      </c>
    </row>
    <row r="2307" spans="1:6" ht="20.25" hidden="1">
      <c r="A2307" s="229"/>
      <c r="B2307" s="220" t="s">
        <v>427</v>
      </c>
      <c r="C2307" s="224" t="s">
        <v>273</v>
      </c>
      <c r="D2307" s="248"/>
      <c r="E2307" s="214"/>
      <c r="F2307" s="167">
        <f t="shared" si="94"/>
        <v>0</v>
      </c>
    </row>
    <row r="2308" spans="1:6" ht="20.25" hidden="1">
      <c r="A2308" s="215"/>
      <c r="B2308" s="220"/>
      <c r="C2308" s="224">
        <v>79</v>
      </c>
      <c r="D2308" s="248"/>
      <c r="E2308" s="214"/>
      <c r="F2308" s="167">
        <f t="shared" si="94"/>
        <v>0</v>
      </c>
    </row>
    <row r="2309" spans="1:6" ht="20.25" hidden="1">
      <c r="A2309" s="219"/>
      <c r="B2309" s="220"/>
      <c r="C2309" s="224">
        <v>81</v>
      </c>
      <c r="D2309" s="248"/>
      <c r="E2309" s="214"/>
      <c r="F2309" s="167">
        <f t="shared" si="94"/>
        <v>0</v>
      </c>
    </row>
    <row r="2310" spans="1:6" ht="20.25" hidden="1">
      <c r="A2310" s="206" t="s">
        <v>278</v>
      </c>
      <c r="B2310" s="220"/>
      <c r="C2310" s="224" t="s">
        <v>279</v>
      </c>
      <c r="D2310" s="248"/>
      <c r="E2310" s="214"/>
      <c r="F2310" s="167">
        <f t="shared" si="94"/>
        <v>0</v>
      </c>
    </row>
    <row r="2311" spans="1:6" ht="20.25" hidden="1">
      <c r="A2311" s="206" t="s">
        <v>629</v>
      </c>
      <c r="B2311" s="220"/>
      <c r="C2311" s="224" t="s">
        <v>602</v>
      </c>
      <c r="D2311" s="248"/>
      <c r="E2311" s="214"/>
      <c r="F2311" s="167">
        <f t="shared" si="94"/>
        <v>0</v>
      </c>
    </row>
    <row r="2312" spans="1:6" ht="20.25" hidden="1">
      <c r="A2312" s="242"/>
      <c r="B2312" s="243"/>
      <c r="C2312" s="224"/>
      <c r="D2312" s="248"/>
      <c r="E2312" s="214"/>
      <c r="F2312" s="167">
        <f t="shared" si="94"/>
        <v>0</v>
      </c>
    </row>
    <row r="2313" spans="1:6" ht="20.25">
      <c r="A2313" s="244" t="s">
        <v>173</v>
      </c>
      <c r="B2313" s="475"/>
      <c r="C2313" s="224" t="s">
        <v>594</v>
      </c>
      <c r="D2313" s="367">
        <f>D2314+D2315</f>
        <v>66851.759999999995</v>
      </c>
      <c r="E2313" s="414">
        <f>E2314+E2315</f>
        <v>277</v>
      </c>
      <c r="F2313" s="167">
        <f t="shared" si="94"/>
        <v>67128.759999999995</v>
      </c>
    </row>
    <row r="2314" spans="1:6" ht="20.25">
      <c r="A2314" s="244"/>
      <c r="B2314" s="475" t="s">
        <v>174</v>
      </c>
      <c r="C2314" s="224" t="s">
        <v>175</v>
      </c>
      <c r="D2314" s="367">
        <f>1945+64731+108.76+30+37</f>
        <v>66851.759999999995</v>
      </c>
      <c r="E2314" s="414">
        <f>257+20</f>
        <v>277</v>
      </c>
      <c r="F2314" s="167">
        <f t="shared" ref="F2314:F2377" si="95">D2314+E2314</f>
        <v>67128.759999999995</v>
      </c>
    </row>
    <row r="2315" spans="1:6" ht="21" hidden="1" customHeight="1">
      <c r="A2315" s="244"/>
      <c r="B2315" s="475" t="s">
        <v>436</v>
      </c>
      <c r="C2315" s="224" t="s">
        <v>437</v>
      </c>
      <c r="D2315" s="248"/>
      <c r="E2315" s="214"/>
      <c r="F2315" s="167">
        <f t="shared" si="95"/>
        <v>0</v>
      </c>
    </row>
    <row r="2316" spans="1:6" ht="20.25">
      <c r="A2316" s="244" t="s">
        <v>595</v>
      </c>
      <c r="B2316" s="475"/>
      <c r="C2316" s="224" t="s">
        <v>596</v>
      </c>
      <c r="D2316" s="248">
        <f>10+350</f>
        <v>360</v>
      </c>
      <c r="E2316" s="214"/>
      <c r="F2316" s="167">
        <f t="shared" si="95"/>
        <v>360</v>
      </c>
    </row>
    <row r="2317" spans="1:6" ht="20.25">
      <c r="A2317" s="271"/>
      <c r="B2317" s="474" t="s">
        <v>899</v>
      </c>
      <c r="C2317" s="224" t="s">
        <v>900</v>
      </c>
      <c r="D2317" s="248">
        <f>418+6433+10</f>
        <v>6861</v>
      </c>
      <c r="E2317" s="214"/>
      <c r="F2317" s="167">
        <f t="shared" si="95"/>
        <v>6861</v>
      </c>
    </row>
    <row r="2318" spans="1:6" ht="20.25" hidden="1">
      <c r="A2318" s="272"/>
      <c r="B2318" s="277"/>
      <c r="C2318" s="224" t="s">
        <v>176</v>
      </c>
      <c r="D2318" s="248"/>
      <c r="E2318" s="214"/>
      <c r="F2318" s="167">
        <f t="shared" si="95"/>
        <v>0</v>
      </c>
    </row>
    <row r="2319" spans="1:6" ht="20.25" hidden="1">
      <c r="A2319" s="263"/>
      <c r="B2319" s="264" t="s">
        <v>177</v>
      </c>
      <c r="C2319" s="202" t="s">
        <v>597</v>
      </c>
      <c r="D2319" s="350">
        <f>D2348</f>
        <v>0</v>
      </c>
      <c r="E2319" s="409">
        <f>E2348</f>
        <v>0</v>
      </c>
      <c r="F2319" s="167">
        <f t="shared" si="95"/>
        <v>0</v>
      </c>
    </row>
    <row r="2320" spans="1:6" ht="20.25" hidden="1">
      <c r="A2320" s="247" t="s">
        <v>99</v>
      </c>
      <c r="B2320" s="474"/>
      <c r="C2320" s="235" t="s">
        <v>49</v>
      </c>
      <c r="D2320" s="367">
        <f>D2323+D2328</f>
        <v>0</v>
      </c>
      <c r="E2320" s="414">
        <f>E2323+E2328</f>
        <v>0</v>
      </c>
      <c r="F2320" s="167">
        <f t="shared" si="95"/>
        <v>0</v>
      </c>
    </row>
    <row r="2321" spans="1:6" ht="20.25" hidden="1">
      <c r="A2321" s="204" t="s">
        <v>561</v>
      </c>
      <c r="B2321" s="474"/>
      <c r="C2321" s="235">
        <v>10</v>
      </c>
      <c r="D2321" s="248"/>
      <c r="E2321" s="214"/>
      <c r="F2321" s="167">
        <f t="shared" si="95"/>
        <v>0</v>
      </c>
    </row>
    <row r="2322" spans="1:6" ht="20.25" hidden="1">
      <c r="A2322" s="206" t="s">
        <v>562</v>
      </c>
      <c r="B2322" s="474"/>
      <c r="C2322" s="224">
        <v>20</v>
      </c>
      <c r="D2322" s="248"/>
      <c r="E2322" s="214"/>
      <c r="F2322" s="167">
        <f t="shared" si="95"/>
        <v>0</v>
      </c>
    </row>
    <row r="2323" spans="1:6" ht="20.25" hidden="1">
      <c r="A2323" s="219" t="s">
        <v>612</v>
      </c>
      <c r="B2323" s="474"/>
      <c r="C2323" s="235" t="s">
        <v>159</v>
      </c>
      <c r="D2323" s="248"/>
      <c r="E2323" s="214"/>
      <c r="F2323" s="167">
        <f t="shared" si="95"/>
        <v>0</v>
      </c>
    </row>
    <row r="2324" spans="1:6" ht="20.25" hidden="1">
      <c r="A2324" s="219" t="s">
        <v>160</v>
      </c>
      <c r="B2324" s="474"/>
      <c r="C2324" s="235" t="s">
        <v>67</v>
      </c>
      <c r="D2324" s="248"/>
      <c r="E2324" s="214"/>
      <c r="F2324" s="167">
        <f t="shared" si="95"/>
        <v>0</v>
      </c>
    </row>
    <row r="2325" spans="1:6" ht="20.25" hidden="1">
      <c r="A2325" s="215"/>
      <c r="B2325" s="220" t="s">
        <v>438</v>
      </c>
      <c r="C2325" s="224" t="s">
        <v>260</v>
      </c>
      <c r="D2325" s="248"/>
      <c r="E2325" s="214"/>
      <c r="F2325" s="167">
        <f t="shared" si="95"/>
        <v>0</v>
      </c>
    </row>
    <row r="2326" spans="1:6" ht="20.25" hidden="1">
      <c r="A2326" s="215"/>
      <c r="B2326" s="222" t="s">
        <v>323</v>
      </c>
      <c r="C2326" s="235" t="s">
        <v>258</v>
      </c>
      <c r="D2326" s="248"/>
      <c r="E2326" s="214"/>
      <c r="F2326" s="167">
        <f t="shared" si="95"/>
        <v>0</v>
      </c>
    </row>
    <row r="2327" spans="1:6" ht="20.25" hidden="1">
      <c r="A2327" s="215"/>
      <c r="B2327" s="220" t="s">
        <v>624</v>
      </c>
      <c r="C2327" s="224" t="s">
        <v>625</v>
      </c>
      <c r="D2327" s="248"/>
      <c r="E2327" s="214"/>
      <c r="F2327" s="167">
        <f t="shared" si="95"/>
        <v>0</v>
      </c>
    </row>
    <row r="2328" spans="1:6" ht="36" hidden="1">
      <c r="A2328" s="215"/>
      <c r="B2328" s="208" t="s">
        <v>321</v>
      </c>
      <c r="C2328" s="235">
        <v>56</v>
      </c>
      <c r="D2328" s="248"/>
      <c r="E2328" s="214"/>
      <c r="F2328" s="167">
        <f t="shared" si="95"/>
        <v>0</v>
      </c>
    </row>
    <row r="2329" spans="1:6" ht="20.25" hidden="1">
      <c r="A2329" s="215"/>
      <c r="B2329" s="222" t="s">
        <v>315</v>
      </c>
      <c r="C2329" s="224" t="s">
        <v>324</v>
      </c>
      <c r="D2329" s="248"/>
      <c r="E2329" s="214"/>
      <c r="F2329" s="167">
        <f t="shared" si="95"/>
        <v>0</v>
      </c>
    </row>
    <row r="2330" spans="1:6" ht="20.25" hidden="1">
      <c r="A2330" s="231"/>
      <c r="B2330" s="474"/>
      <c r="C2330" s="224">
        <v>70</v>
      </c>
      <c r="D2330" s="367">
        <f>D2331</f>
        <v>0</v>
      </c>
      <c r="E2330" s="414">
        <f>E2331</f>
        <v>0</v>
      </c>
      <c r="F2330" s="167">
        <f t="shared" si="95"/>
        <v>0</v>
      </c>
    </row>
    <row r="2331" spans="1:6" ht="20.25" hidden="1">
      <c r="A2331" s="238"/>
      <c r="B2331" s="474"/>
      <c r="C2331" s="224">
        <v>71</v>
      </c>
      <c r="D2331" s="367"/>
      <c r="E2331" s="414"/>
      <c r="F2331" s="167">
        <f t="shared" si="95"/>
        <v>0</v>
      </c>
    </row>
    <row r="2332" spans="1:6" ht="20.25" hidden="1">
      <c r="A2332" s="219" t="s">
        <v>110</v>
      </c>
      <c r="B2332" s="474"/>
      <c r="C2332" s="224" t="s">
        <v>80</v>
      </c>
      <c r="D2332" s="367"/>
      <c r="E2332" s="414"/>
      <c r="F2332" s="167">
        <f t="shared" si="95"/>
        <v>0</v>
      </c>
    </row>
    <row r="2333" spans="1:6" ht="20.25" hidden="1">
      <c r="A2333" s="219"/>
      <c r="B2333" s="218" t="s">
        <v>81</v>
      </c>
      <c r="C2333" s="241" t="s">
        <v>82</v>
      </c>
      <c r="D2333" s="367"/>
      <c r="E2333" s="414"/>
      <c r="F2333" s="167">
        <f t="shared" si="95"/>
        <v>0</v>
      </c>
    </row>
    <row r="2334" spans="1:6" ht="20.25" hidden="1">
      <c r="A2334" s="219"/>
      <c r="B2334" s="220" t="s">
        <v>83</v>
      </c>
      <c r="C2334" s="241" t="s">
        <v>84</v>
      </c>
      <c r="D2334" s="367"/>
      <c r="E2334" s="414"/>
      <c r="F2334" s="167">
        <f t="shared" si="95"/>
        <v>0</v>
      </c>
    </row>
    <row r="2335" spans="1:6" ht="20.25" hidden="1">
      <c r="A2335" s="219"/>
      <c r="B2335" s="220" t="s">
        <v>94</v>
      </c>
      <c r="C2335" s="241" t="s">
        <v>86</v>
      </c>
      <c r="D2335" s="367"/>
      <c r="E2335" s="414"/>
      <c r="F2335" s="167">
        <f t="shared" si="95"/>
        <v>0</v>
      </c>
    </row>
    <row r="2336" spans="1:6" ht="20.25" hidden="1">
      <c r="A2336" s="219"/>
      <c r="B2336" s="220" t="s">
        <v>87</v>
      </c>
      <c r="C2336" s="241" t="s">
        <v>88</v>
      </c>
      <c r="D2336" s="367"/>
      <c r="E2336" s="414"/>
      <c r="F2336" s="167">
        <f t="shared" si="95"/>
        <v>0</v>
      </c>
    </row>
    <row r="2337" spans="1:6" ht="20.25" hidden="1">
      <c r="A2337" s="526" t="s">
        <v>268</v>
      </c>
      <c r="B2337" s="529"/>
      <c r="C2337" s="241" t="s">
        <v>269</v>
      </c>
      <c r="D2337" s="367"/>
      <c r="E2337" s="414"/>
      <c r="F2337" s="167">
        <f t="shared" si="95"/>
        <v>0</v>
      </c>
    </row>
    <row r="2338" spans="1:6" ht="20.25" hidden="1">
      <c r="A2338" s="242"/>
      <c r="B2338" s="243"/>
      <c r="C2338" s="224"/>
      <c r="D2338" s="367"/>
      <c r="E2338" s="414"/>
      <c r="F2338" s="167">
        <f t="shared" si="95"/>
        <v>0</v>
      </c>
    </row>
    <row r="2339" spans="1:6" ht="20.25" hidden="1">
      <c r="A2339" s="242"/>
      <c r="B2339" s="243"/>
      <c r="C2339" s="224"/>
      <c r="D2339" s="367"/>
      <c r="E2339" s="414"/>
      <c r="F2339" s="167">
        <f t="shared" si="95"/>
        <v>0</v>
      </c>
    </row>
    <row r="2340" spans="1:6" ht="20.25" hidden="1">
      <c r="A2340" s="242"/>
      <c r="B2340" s="243" t="s">
        <v>318</v>
      </c>
      <c r="C2340" s="224">
        <v>85</v>
      </c>
      <c r="D2340" s="367">
        <f>D2341</f>
        <v>0</v>
      </c>
      <c r="E2340" s="414">
        <f>E2341</f>
        <v>0</v>
      </c>
      <c r="F2340" s="167">
        <f t="shared" si="95"/>
        <v>0</v>
      </c>
    </row>
    <row r="2341" spans="1:6" ht="20.25" hidden="1">
      <c r="A2341" s="242"/>
      <c r="B2341" s="220" t="s">
        <v>311</v>
      </c>
      <c r="C2341" s="224" t="s">
        <v>312</v>
      </c>
      <c r="D2341" s="367"/>
      <c r="E2341" s="414"/>
      <c r="F2341" s="167">
        <f t="shared" si="95"/>
        <v>0</v>
      </c>
    </row>
    <row r="2342" spans="1:6" ht="20.25" hidden="1">
      <c r="A2342" s="244" t="s">
        <v>178</v>
      </c>
      <c r="B2342" s="220"/>
      <c r="C2342" s="224" t="s">
        <v>179</v>
      </c>
      <c r="D2342" s="367">
        <f>SUM(D2345:D2348)</f>
        <v>0</v>
      </c>
      <c r="E2342" s="414">
        <f>SUM(E2345:E2348)</f>
        <v>0</v>
      </c>
      <c r="F2342" s="167">
        <f t="shared" si="95"/>
        <v>0</v>
      </c>
    </row>
    <row r="2343" spans="1:6" ht="20.25" hidden="1">
      <c r="A2343" s="244"/>
      <c r="B2343" s="278"/>
      <c r="C2343" s="279"/>
      <c r="D2343" s="367"/>
      <c r="E2343" s="414"/>
      <c r="F2343" s="167">
        <f t="shared" si="95"/>
        <v>0</v>
      </c>
    </row>
    <row r="2344" spans="1:6" ht="20.25" hidden="1">
      <c r="A2344" s="244"/>
      <c r="B2344" s="278"/>
      <c r="C2344" s="279"/>
      <c r="D2344" s="367"/>
      <c r="E2344" s="414"/>
      <c r="F2344" s="167">
        <f t="shared" si="95"/>
        <v>0</v>
      </c>
    </row>
    <row r="2345" spans="1:6" ht="20.25" hidden="1">
      <c r="A2345" s="263"/>
      <c r="B2345" s="475" t="s">
        <v>598</v>
      </c>
      <c r="C2345" s="224" t="s">
        <v>599</v>
      </c>
      <c r="D2345" s="367"/>
      <c r="E2345" s="414"/>
      <c r="F2345" s="167">
        <f t="shared" si="95"/>
        <v>0</v>
      </c>
    </row>
    <row r="2346" spans="1:6" ht="20.25" hidden="1">
      <c r="A2346" s="263"/>
      <c r="B2346" s="475" t="s">
        <v>440</v>
      </c>
      <c r="C2346" s="224" t="s">
        <v>441</v>
      </c>
      <c r="D2346" s="367"/>
      <c r="E2346" s="414"/>
      <c r="F2346" s="167">
        <f t="shared" si="95"/>
        <v>0</v>
      </c>
    </row>
    <row r="2347" spans="1:6" ht="20.25" hidden="1">
      <c r="A2347" s="263"/>
      <c r="B2347" s="475" t="s">
        <v>442</v>
      </c>
      <c r="C2347" s="224" t="s">
        <v>443</v>
      </c>
      <c r="D2347" s="367"/>
      <c r="E2347" s="414"/>
      <c r="F2347" s="167">
        <f t="shared" si="95"/>
        <v>0</v>
      </c>
    </row>
    <row r="2348" spans="1:6" ht="20.25" hidden="1">
      <c r="A2348" s="263"/>
      <c r="B2348" s="220" t="s">
        <v>600</v>
      </c>
      <c r="C2348" s="224" t="s">
        <v>601</v>
      </c>
      <c r="D2348" s="367"/>
      <c r="E2348" s="414"/>
      <c r="F2348" s="167">
        <f t="shared" si="95"/>
        <v>0</v>
      </c>
    </row>
    <row r="2349" spans="1:6" ht="20.25" hidden="1">
      <c r="A2349" s="280"/>
      <c r="B2349" s="281"/>
      <c r="C2349" s="224"/>
      <c r="D2349" s="367"/>
      <c r="E2349" s="414"/>
      <c r="F2349" s="167">
        <f t="shared" si="95"/>
        <v>0</v>
      </c>
    </row>
    <row r="2350" spans="1:6" ht="20.25" hidden="1">
      <c r="A2350" s="263"/>
      <c r="B2350" s="264" t="s">
        <v>180</v>
      </c>
      <c r="C2350" s="202" t="s">
        <v>602</v>
      </c>
      <c r="D2350" s="350"/>
      <c r="E2350" s="409"/>
      <c r="F2350" s="167">
        <f t="shared" si="95"/>
        <v>0</v>
      </c>
    </row>
    <row r="2351" spans="1:6" ht="20.25" hidden="1">
      <c r="A2351" s="247" t="s">
        <v>99</v>
      </c>
      <c r="B2351" s="474"/>
      <c r="C2351" s="235" t="s">
        <v>49</v>
      </c>
      <c r="D2351" s="367"/>
      <c r="E2351" s="414"/>
      <c r="F2351" s="167">
        <f t="shared" si="95"/>
        <v>0</v>
      </c>
    </row>
    <row r="2352" spans="1:6" ht="20.25" hidden="1">
      <c r="A2352" s="204" t="s">
        <v>561</v>
      </c>
      <c r="B2352" s="474"/>
      <c r="C2352" s="235">
        <v>10</v>
      </c>
      <c r="D2352" s="367"/>
      <c r="E2352" s="414"/>
      <c r="F2352" s="167">
        <f t="shared" si="95"/>
        <v>0</v>
      </c>
    </row>
    <row r="2353" spans="1:6" ht="20.25" hidden="1">
      <c r="A2353" s="206" t="s">
        <v>562</v>
      </c>
      <c r="B2353" s="474"/>
      <c r="C2353" s="224">
        <v>20</v>
      </c>
      <c r="D2353" s="367"/>
      <c r="E2353" s="414"/>
      <c r="F2353" s="167">
        <f t="shared" si="95"/>
        <v>0</v>
      </c>
    </row>
    <row r="2354" spans="1:6" ht="20.25" hidden="1">
      <c r="A2354" s="219" t="s">
        <v>611</v>
      </c>
      <c r="B2354" s="474"/>
      <c r="C2354" s="235" t="s">
        <v>52</v>
      </c>
      <c r="D2354" s="367"/>
      <c r="E2354" s="414"/>
      <c r="F2354" s="167">
        <f t="shared" si="95"/>
        <v>0</v>
      </c>
    </row>
    <row r="2355" spans="1:6" ht="20.25" hidden="1">
      <c r="A2355" s="219" t="s">
        <v>53</v>
      </c>
      <c r="B2355" s="474"/>
      <c r="C2355" s="235" t="s">
        <v>626</v>
      </c>
      <c r="D2355" s="367"/>
      <c r="E2355" s="414"/>
      <c r="F2355" s="167">
        <f t="shared" si="95"/>
        <v>0</v>
      </c>
    </row>
    <row r="2356" spans="1:6" ht="20.25" hidden="1">
      <c r="A2356" s="282"/>
      <c r="B2356" s="474"/>
      <c r="C2356" s="235" t="s">
        <v>592</v>
      </c>
      <c r="D2356" s="367"/>
      <c r="E2356" s="414"/>
      <c r="F2356" s="167">
        <f t="shared" si="95"/>
        <v>0</v>
      </c>
    </row>
    <row r="2357" spans="1:6" ht="20.25" hidden="1">
      <c r="A2357" s="219" t="s">
        <v>55</v>
      </c>
      <c r="B2357" s="474"/>
      <c r="C2357" s="224" t="s">
        <v>56</v>
      </c>
      <c r="D2357" s="367"/>
      <c r="E2357" s="414"/>
      <c r="F2357" s="167">
        <f t="shared" si="95"/>
        <v>0</v>
      </c>
    </row>
    <row r="2358" spans="1:6" ht="20.25" hidden="1">
      <c r="A2358" s="215"/>
      <c r="B2358" s="222" t="s">
        <v>100</v>
      </c>
      <c r="C2358" s="224" t="s">
        <v>58</v>
      </c>
      <c r="D2358" s="367"/>
      <c r="E2358" s="414"/>
      <c r="F2358" s="167">
        <f t="shared" si="95"/>
        <v>0</v>
      </c>
    </row>
    <row r="2359" spans="1:6" ht="20.25" hidden="1">
      <c r="A2359" s="215"/>
      <c r="B2359" s="460"/>
      <c r="C2359" s="235">
        <v>55</v>
      </c>
      <c r="D2359" s="367"/>
      <c r="E2359" s="414"/>
      <c r="F2359" s="167">
        <f t="shared" si="95"/>
        <v>0</v>
      </c>
    </row>
    <row r="2360" spans="1:6" ht="20.25" hidden="1">
      <c r="A2360" s="219" t="s">
        <v>444</v>
      </c>
      <c r="B2360" s="460"/>
      <c r="C2360" s="224" t="s">
        <v>67</v>
      </c>
      <c r="D2360" s="367"/>
      <c r="E2360" s="414"/>
      <c r="F2360" s="167">
        <f t="shared" si="95"/>
        <v>0</v>
      </c>
    </row>
    <row r="2361" spans="1:6" ht="20.25" hidden="1">
      <c r="A2361" s="215"/>
      <c r="B2361" s="220" t="s">
        <v>68</v>
      </c>
      <c r="C2361" s="224" t="s">
        <v>622</v>
      </c>
      <c r="D2361" s="367"/>
      <c r="E2361" s="414"/>
      <c r="F2361" s="167">
        <f t="shared" si="95"/>
        <v>0</v>
      </c>
    </row>
    <row r="2362" spans="1:6" ht="20.25" hidden="1">
      <c r="A2362" s="231"/>
      <c r="B2362" s="474"/>
      <c r="C2362" s="224">
        <v>70</v>
      </c>
      <c r="D2362" s="367"/>
      <c r="E2362" s="414"/>
      <c r="F2362" s="167">
        <f t="shared" si="95"/>
        <v>0</v>
      </c>
    </row>
    <row r="2363" spans="1:6" ht="20.25" hidden="1">
      <c r="A2363" s="238"/>
      <c r="B2363" s="474"/>
      <c r="C2363" s="224">
        <v>71</v>
      </c>
      <c r="D2363" s="367"/>
      <c r="E2363" s="414"/>
      <c r="F2363" s="167">
        <f t="shared" si="95"/>
        <v>0</v>
      </c>
    </row>
    <row r="2364" spans="1:6" ht="20.25" hidden="1">
      <c r="A2364" s="219" t="s">
        <v>127</v>
      </c>
      <c r="B2364" s="474"/>
      <c r="C2364" s="224" t="s">
        <v>80</v>
      </c>
      <c r="D2364" s="367"/>
      <c r="E2364" s="414"/>
      <c r="F2364" s="167">
        <f t="shared" si="95"/>
        <v>0</v>
      </c>
    </row>
    <row r="2365" spans="1:6" ht="20.25" hidden="1">
      <c r="A2365" s="219"/>
      <c r="B2365" s="218" t="s">
        <v>81</v>
      </c>
      <c r="C2365" s="241" t="s">
        <v>82</v>
      </c>
      <c r="D2365" s="367"/>
      <c r="E2365" s="414"/>
      <c r="F2365" s="167">
        <f t="shared" si="95"/>
        <v>0</v>
      </c>
    </row>
    <row r="2366" spans="1:6" ht="20.25" hidden="1">
      <c r="A2366" s="219"/>
      <c r="B2366" s="220" t="s">
        <v>83</v>
      </c>
      <c r="C2366" s="241" t="s">
        <v>84</v>
      </c>
      <c r="D2366" s="367"/>
      <c r="E2366" s="414"/>
      <c r="F2366" s="167">
        <f t="shared" si="95"/>
        <v>0</v>
      </c>
    </row>
    <row r="2367" spans="1:6" ht="20.25" hidden="1">
      <c r="A2367" s="219"/>
      <c r="B2367" s="220" t="s">
        <v>94</v>
      </c>
      <c r="C2367" s="241" t="s">
        <v>86</v>
      </c>
      <c r="D2367" s="367"/>
      <c r="E2367" s="414"/>
      <c r="F2367" s="167">
        <f t="shared" si="95"/>
        <v>0</v>
      </c>
    </row>
    <row r="2368" spans="1:6" ht="20.25" hidden="1">
      <c r="A2368" s="219"/>
      <c r="B2368" s="220" t="s">
        <v>445</v>
      </c>
      <c r="C2368" s="241" t="s">
        <v>88</v>
      </c>
      <c r="D2368" s="367"/>
      <c r="E2368" s="414"/>
      <c r="F2368" s="167">
        <f t="shared" si="95"/>
        <v>0</v>
      </c>
    </row>
    <row r="2369" spans="1:6" ht="20.25" hidden="1">
      <c r="A2369" s="526" t="s">
        <v>268</v>
      </c>
      <c r="B2369" s="529"/>
      <c r="C2369" s="241" t="s">
        <v>269</v>
      </c>
      <c r="D2369" s="367"/>
      <c r="E2369" s="414"/>
      <c r="F2369" s="167">
        <f t="shared" si="95"/>
        <v>0</v>
      </c>
    </row>
    <row r="2370" spans="1:6" ht="20.25" hidden="1">
      <c r="A2370" s="215"/>
      <c r="B2370" s="220"/>
      <c r="C2370" s="224">
        <v>79</v>
      </c>
      <c r="D2370" s="367"/>
      <c r="E2370" s="414"/>
      <c r="F2370" s="167">
        <f t="shared" si="95"/>
        <v>0</v>
      </c>
    </row>
    <row r="2371" spans="1:6" ht="20.25" hidden="1">
      <c r="A2371" s="219"/>
      <c r="B2371" s="220"/>
      <c r="C2371" s="224">
        <v>81</v>
      </c>
      <c r="D2371" s="367"/>
      <c r="E2371" s="414"/>
      <c r="F2371" s="167">
        <f t="shared" si="95"/>
        <v>0</v>
      </c>
    </row>
    <row r="2372" spans="1:6" ht="20.25" hidden="1">
      <c r="A2372" s="206" t="s">
        <v>278</v>
      </c>
      <c r="B2372" s="220"/>
      <c r="C2372" s="224" t="s">
        <v>279</v>
      </c>
      <c r="D2372" s="367"/>
      <c r="E2372" s="414"/>
      <c r="F2372" s="167">
        <f t="shared" si="95"/>
        <v>0</v>
      </c>
    </row>
    <row r="2373" spans="1:6" ht="20.25" hidden="1">
      <c r="A2373" s="206" t="s">
        <v>629</v>
      </c>
      <c r="B2373" s="220"/>
      <c r="C2373" s="224" t="s">
        <v>602</v>
      </c>
      <c r="D2373" s="367"/>
      <c r="E2373" s="414"/>
      <c r="F2373" s="167">
        <f t="shared" si="95"/>
        <v>0</v>
      </c>
    </row>
    <row r="2374" spans="1:6" ht="20.25" hidden="1">
      <c r="A2374" s="242"/>
      <c r="B2374" s="243"/>
      <c r="C2374" s="224"/>
      <c r="D2374" s="367"/>
      <c r="E2374" s="414"/>
      <c r="F2374" s="167">
        <f t="shared" si="95"/>
        <v>0</v>
      </c>
    </row>
    <row r="2375" spans="1:6" ht="20.25" hidden="1">
      <c r="A2375" s="244" t="s">
        <v>181</v>
      </c>
      <c r="B2375" s="220"/>
      <c r="C2375" s="224" t="s">
        <v>627</v>
      </c>
      <c r="D2375" s="248"/>
      <c r="E2375" s="214"/>
      <c r="F2375" s="167">
        <f t="shared" si="95"/>
        <v>0</v>
      </c>
    </row>
    <row r="2376" spans="1:6" ht="20.25" hidden="1">
      <c r="A2376" s="244" t="s">
        <v>446</v>
      </c>
      <c r="B2376" s="220"/>
      <c r="C2376" s="224" t="s">
        <v>447</v>
      </c>
      <c r="D2376" s="248"/>
      <c r="E2376" s="214"/>
      <c r="F2376" s="167">
        <f t="shared" si="95"/>
        <v>0</v>
      </c>
    </row>
    <row r="2377" spans="1:6" ht="20.25" hidden="1">
      <c r="A2377" s="236" t="s">
        <v>448</v>
      </c>
      <c r="B2377" s="220"/>
      <c r="C2377" s="224" t="s">
        <v>449</v>
      </c>
      <c r="D2377" s="248"/>
      <c r="E2377" s="214"/>
      <c r="F2377" s="167">
        <f t="shared" si="95"/>
        <v>0</v>
      </c>
    </row>
    <row r="2378" spans="1:6" ht="20.25" hidden="1">
      <c r="A2378" s="242"/>
      <c r="B2378" s="243"/>
      <c r="C2378" s="224"/>
      <c r="D2378" s="248"/>
      <c r="E2378" s="214"/>
      <c r="F2378" s="167">
        <f t="shared" ref="F2378:F2423" si="96">D2378+E2378</f>
        <v>0</v>
      </c>
    </row>
    <row r="2379" spans="1:6" ht="20.25" hidden="1">
      <c r="A2379" s="204" t="s">
        <v>182</v>
      </c>
      <c r="B2379" s="277"/>
      <c r="C2379" s="202" t="s">
        <v>603</v>
      </c>
      <c r="D2379" s="349">
        <f>D2403</f>
        <v>0</v>
      </c>
      <c r="E2379" s="354">
        <f>E2403</f>
        <v>0</v>
      </c>
      <c r="F2379" s="167">
        <f t="shared" si="96"/>
        <v>0</v>
      </c>
    </row>
    <row r="2380" spans="1:6" ht="20.25" hidden="1">
      <c r="A2380" s="247" t="s">
        <v>99</v>
      </c>
      <c r="B2380" s="474"/>
      <c r="C2380" s="235" t="s">
        <v>49</v>
      </c>
      <c r="D2380" s="248">
        <f>D2386</f>
        <v>0</v>
      </c>
      <c r="E2380" s="214">
        <f>E2386</f>
        <v>0</v>
      </c>
      <c r="F2380" s="167">
        <f t="shared" si="96"/>
        <v>0</v>
      </c>
    </row>
    <row r="2381" spans="1:6" ht="20.25" hidden="1">
      <c r="A2381" s="204" t="s">
        <v>561</v>
      </c>
      <c r="B2381" s="474"/>
      <c r="C2381" s="235">
        <v>10</v>
      </c>
      <c r="D2381" s="248"/>
      <c r="E2381" s="214"/>
      <c r="F2381" s="167">
        <f t="shared" si="96"/>
        <v>0</v>
      </c>
    </row>
    <row r="2382" spans="1:6" ht="20.25" hidden="1">
      <c r="A2382" s="206" t="s">
        <v>562</v>
      </c>
      <c r="B2382" s="474"/>
      <c r="C2382" s="224">
        <v>20</v>
      </c>
      <c r="D2382" s="248"/>
      <c r="E2382" s="214"/>
      <c r="F2382" s="167">
        <f t="shared" si="96"/>
        <v>0</v>
      </c>
    </row>
    <row r="2383" spans="1:6" ht="20.25" hidden="1">
      <c r="A2383" s="219" t="s">
        <v>54</v>
      </c>
      <c r="B2383" s="474"/>
      <c r="C2383" s="235" t="s">
        <v>592</v>
      </c>
      <c r="D2383" s="248"/>
      <c r="E2383" s="214"/>
      <c r="F2383" s="167">
        <f t="shared" si="96"/>
        <v>0</v>
      </c>
    </row>
    <row r="2384" spans="1:6" ht="20.25" hidden="1">
      <c r="A2384" s="215"/>
      <c r="B2384" s="474"/>
      <c r="C2384" s="224" t="s">
        <v>56</v>
      </c>
      <c r="D2384" s="248"/>
      <c r="E2384" s="214"/>
      <c r="F2384" s="167">
        <f t="shared" si="96"/>
        <v>0</v>
      </c>
    </row>
    <row r="2385" spans="1:10" ht="20.25" hidden="1">
      <c r="A2385" s="215"/>
      <c r="B2385" s="222" t="s">
        <v>100</v>
      </c>
      <c r="C2385" s="224" t="s">
        <v>58</v>
      </c>
      <c r="D2385" s="248"/>
      <c r="E2385" s="214"/>
      <c r="F2385" s="167">
        <f t="shared" si="96"/>
        <v>0</v>
      </c>
    </row>
    <row r="2386" spans="1:10" ht="36" hidden="1">
      <c r="A2386" s="215"/>
      <c r="B2386" s="208" t="s">
        <v>321</v>
      </c>
      <c r="C2386" s="235">
        <v>56</v>
      </c>
      <c r="D2386" s="248"/>
      <c r="E2386" s="214"/>
      <c r="F2386" s="167">
        <f t="shared" si="96"/>
        <v>0</v>
      </c>
    </row>
    <row r="2387" spans="1:10" ht="20.25" hidden="1">
      <c r="A2387" s="215"/>
      <c r="B2387" s="222" t="s">
        <v>315</v>
      </c>
      <c r="C2387" s="224" t="s">
        <v>324</v>
      </c>
      <c r="D2387" s="248"/>
      <c r="E2387" s="214"/>
      <c r="F2387" s="167">
        <f t="shared" si="96"/>
        <v>0</v>
      </c>
    </row>
    <row r="2388" spans="1:10" ht="20.25" hidden="1">
      <c r="A2388" s="261" t="s">
        <v>475</v>
      </c>
      <c r="B2388" s="474"/>
      <c r="C2388" s="224">
        <v>70</v>
      </c>
      <c r="D2388" s="248">
        <f>D2389</f>
        <v>0</v>
      </c>
      <c r="E2388" s="214">
        <f>E2389</f>
        <v>0</v>
      </c>
      <c r="F2388" s="167">
        <f t="shared" si="96"/>
        <v>0</v>
      </c>
    </row>
    <row r="2389" spans="1:10" ht="21" hidden="1" customHeight="1">
      <c r="A2389" s="226" t="s">
        <v>317</v>
      </c>
      <c r="B2389" s="474"/>
      <c r="C2389" s="224">
        <v>71</v>
      </c>
      <c r="D2389" s="248"/>
      <c r="E2389" s="214"/>
      <c r="F2389" s="167">
        <f t="shared" si="96"/>
        <v>0</v>
      </c>
    </row>
    <row r="2390" spans="1:10" ht="20.25" hidden="1">
      <c r="A2390" s="219" t="s">
        <v>110</v>
      </c>
      <c r="B2390" s="474"/>
      <c r="C2390" s="224" t="s">
        <v>80</v>
      </c>
      <c r="D2390" s="248"/>
      <c r="E2390" s="214"/>
      <c r="F2390" s="167">
        <f t="shared" si="96"/>
        <v>0</v>
      </c>
    </row>
    <row r="2391" spans="1:10" ht="20.25" hidden="1">
      <c r="A2391" s="219"/>
      <c r="B2391" s="218" t="s">
        <v>81</v>
      </c>
      <c r="C2391" s="241" t="s">
        <v>82</v>
      </c>
      <c r="D2391" s="248"/>
      <c r="E2391" s="214"/>
      <c r="F2391" s="167">
        <f t="shared" si="96"/>
        <v>0</v>
      </c>
    </row>
    <row r="2392" spans="1:10" ht="20.25" hidden="1">
      <c r="A2392" s="219"/>
      <c r="B2392" s="220" t="s">
        <v>83</v>
      </c>
      <c r="C2392" s="241" t="s">
        <v>84</v>
      </c>
      <c r="D2392" s="248"/>
      <c r="E2392" s="214"/>
      <c r="F2392" s="167">
        <f t="shared" si="96"/>
        <v>0</v>
      </c>
    </row>
    <row r="2393" spans="1:10" ht="20.25" hidden="1">
      <c r="A2393" s="219"/>
      <c r="B2393" s="220" t="s">
        <v>94</v>
      </c>
      <c r="C2393" s="241" t="s">
        <v>86</v>
      </c>
      <c r="D2393" s="248"/>
      <c r="E2393" s="214"/>
      <c r="F2393" s="167">
        <f t="shared" si="96"/>
        <v>0</v>
      </c>
    </row>
    <row r="2394" spans="1:10" ht="20.25" hidden="1">
      <c r="A2394" s="219"/>
      <c r="B2394" s="220" t="s">
        <v>87</v>
      </c>
      <c r="C2394" s="241" t="s">
        <v>88</v>
      </c>
      <c r="D2394" s="248"/>
      <c r="E2394" s="214"/>
      <c r="F2394" s="167">
        <f t="shared" si="96"/>
        <v>0</v>
      </c>
    </row>
    <row r="2395" spans="1:10" ht="20.25" hidden="1">
      <c r="A2395" s="526" t="s">
        <v>268</v>
      </c>
      <c r="B2395" s="529"/>
      <c r="C2395" s="241" t="s">
        <v>269</v>
      </c>
      <c r="D2395" s="248"/>
      <c r="E2395" s="214"/>
      <c r="F2395" s="167">
        <f t="shared" si="96"/>
        <v>0</v>
      </c>
    </row>
    <row r="2396" spans="1:10" ht="20.25" hidden="1">
      <c r="A2396" s="242"/>
      <c r="B2396" s="243"/>
      <c r="C2396" s="224"/>
      <c r="D2396" s="248"/>
      <c r="E2396" s="214"/>
      <c r="F2396" s="167">
        <f t="shared" si="96"/>
        <v>0</v>
      </c>
    </row>
    <row r="2397" spans="1:10" ht="20.25" hidden="1">
      <c r="A2397" s="242"/>
      <c r="B2397" s="474" t="s">
        <v>357</v>
      </c>
      <c r="C2397" s="224" t="s">
        <v>358</v>
      </c>
      <c r="D2397" s="248"/>
      <c r="E2397" s="214"/>
      <c r="F2397" s="167">
        <f t="shared" si="96"/>
        <v>0</v>
      </c>
    </row>
    <row r="2398" spans="1:10" ht="20.25" hidden="1">
      <c r="A2398" s="242"/>
      <c r="B2398" s="474" t="s">
        <v>116</v>
      </c>
      <c r="C2398" s="224">
        <v>70</v>
      </c>
      <c r="D2398" s="248"/>
      <c r="E2398" s="214"/>
      <c r="F2398" s="167">
        <f t="shared" si="96"/>
        <v>0</v>
      </c>
    </row>
    <row r="2399" spans="1:10" ht="20.25" hidden="1">
      <c r="A2399" s="261" t="s">
        <v>614</v>
      </c>
      <c r="B2399" s="220"/>
      <c r="C2399" s="224">
        <v>79</v>
      </c>
      <c r="D2399" s="248">
        <f>D2400</f>
        <v>0</v>
      </c>
      <c r="E2399" s="214">
        <f>E2400</f>
        <v>0</v>
      </c>
      <c r="F2399" s="167">
        <f t="shared" si="96"/>
        <v>0</v>
      </c>
    </row>
    <row r="2400" spans="1:10" ht="20.25" hidden="1">
      <c r="A2400" s="549" t="s">
        <v>660</v>
      </c>
      <c r="B2400" s="529"/>
      <c r="C2400" s="224">
        <v>81</v>
      </c>
      <c r="D2400" s="367">
        <f>D2401+D2402</f>
        <v>0</v>
      </c>
      <c r="E2400" s="414">
        <f>E2401+E2402</f>
        <v>0</v>
      </c>
      <c r="F2400" s="167">
        <f t="shared" si="96"/>
        <v>0</v>
      </c>
      <c r="J2400" s="169"/>
    </row>
    <row r="2401" spans="1:6" ht="20.25" hidden="1">
      <c r="A2401" s="242"/>
      <c r="B2401" s="474" t="s">
        <v>629</v>
      </c>
      <c r="C2401" s="224" t="s">
        <v>903</v>
      </c>
      <c r="D2401" s="248"/>
      <c r="E2401" s="214"/>
      <c r="F2401" s="167">
        <f t="shared" si="96"/>
        <v>0</v>
      </c>
    </row>
    <row r="2402" spans="1:6" ht="35.25" hidden="1" customHeight="1">
      <c r="A2402" s="315"/>
      <c r="B2402" s="463" t="s">
        <v>887</v>
      </c>
      <c r="C2402" s="428">
        <v>81.040000000000006</v>
      </c>
      <c r="D2402" s="248"/>
      <c r="E2402" s="424"/>
      <c r="F2402" s="167">
        <f t="shared" si="96"/>
        <v>0</v>
      </c>
    </row>
    <row r="2403" spans="1:6" ht="20.25" hidden="1">
      <c r="A2403" s="236" t="s">
        <v>183</v>
      </c>
      <c r="B2403" s="277"/>
      <c r="C2403" s="224" t="s">
        <v>184</v>
      </c>
      <c r="D2403" s="248">
        <f>D2404+D2405</f>
        <v>0</v>
      </c>
      <c r="E2403" s="214">
        <f>E2404+E2405</f>
        <v>0</v>
      </c>
      <c r="F2403" s="167">
        <f t="shared" si="96"/>
        <v>0</v>
      </c>
    </row>
    <row r="2404" spans="1:6" ht="20.25" hidden="1">
      <c r="A2404" s="236"/>
      <c r="B2404" s="475" t="s">
        <v>359</v>
      </c>
      <c r="C2404" s="224" t="s">
        <v>360</v>
      </c>
      <c r="D2404" s="248"/>
      <c r="E2404" s="214"/>
      <c r="F2404" s="167">
        <f t="shared" si="96"/>
        <v>0</v>
      </c>
    </row>
    <row r="2405" spans="1:6" ht="20.25" hidden="1">
      <c r="A2405" s="236"/>
      <c r="B2405" s="220" t="s">
        <v>185</v>
      </c>
      <c r="C2405" s="241" t="s">
        <v>628</v>
      </c>
      <c r="D2405" s="367"/>
      <c r="E2405" s="414"/>
      <c r="F2405" s="167">
        <f t="shared" si="96"/>
        <v>0</v>
      </c>
    </row>
    <row r="2406" spans="1:6" ht="20.25" hidden="1">
      <c r="A2406" s="271"/>
      <c r="B2406" s="474"/>
      <c r="C2406" s="224"/>
      <c r="D2406" s="248"/>
      <c r="E2406" s="214"/>
      <c r="F2406" s="167">
        <f t="shared" si="96"/>
        <v>0</v>
      </c>
    </row>
    <row r="2407" spans="1:6" ht="20.25">
      <c r="A2407" s="283"/>
      <c r="B2407" s="284" t="s">
        <v>302</v>
      </c>
      <c r="C2407" s="202" t="s">
        <v>604</v>
      </c>
      <c r="D2407" s="350">
        <f>D2441+D2447</f>
        <v>145608.58000000002</v>
      </c>
      <c r="E2407" s="409">
        <f>E2441+E2447</f>
        <v>4633</v>
      </c>
      <c r="F2407" s="167">
        <f t="shared" si="96"/>
        <v>150241.58000000002</v>
      </c>
    </row>
    <row r="2408" spans="1:6" ht="20.25">
      <c r="A2408" s="247" t="s">
        <v>114</v>
      </c>
      <c r="B2408" s="474"/>
      <c r="C2408" s="235" t="s">
        <v>49</v>
      </c>
      <c r="D2408" s="367">
        <f>D2409+D2410+D2411+D2413+D2416+D2421+D2422</f>
        <v>40553.58</v>
      </c>
      <c r="E2408" s="414">
        <f>E2409+E2410+E2411+E2413+E2416+E2422</f>
        <v>0</v>
      </c>
      <c r="F2408" s="167">
        <f t="shared" si="96"/>
        <v>40553.58</v>
      </c>
    </row>
    <row r="2409" spans="1:6" ht="20.25" hidden="1">
      <c r="A2409" s="204" t="s">
        <v>561</v>
      </c>
      <c r="B2409" s="474"/>
      <c r="C2409" s="235">
        <v>10</v>
      </c>
      <c r="D2409" s="248"/>
      <c r="E2409" s="214"/>
      <c r="F2409" s="167">
        <f t="shared" si="96"/>
        <v>0</v>
      </c>
    </row>
    <row r="2410" spans="1:6" ht="20.25" hidden="1">
      <c r="A2410" s="206" t="s">
        <v>562</v>
      </c>
      <c r="B2410" s="474"/>
      <c r="C2410" s="224">
        <v>20</v>
      </c>
      <c r="D2410" s="248"/>
      <c r="E2410" s="214"/>
      <c r="F2410" s="167">
        <f t="shared" si="96"/>
        <v>0</v>
      </c>
    </row>
    <row r="2411" spans="1:6" ht="20.25" hidden="1">
      <c r="A2411" s="219" t="s">
        <v>611</v>
      </c>
      <c r="B2411" s="474"/>
      <c r="C2411" s="235" t="s">
        <v>52</v>
      </c>
      <c r="D2411" s="367">
        <f>D2412</f>
        <v>0</v>
      </c>
      <c r="E2411" s="414">
        <f>E2412</f>
        <v>0</v>
      </c>
      <c r="F2411" s="167">
        <f t="shared" si="96"/>
        <v>0</v>
      </c>
    </row>
    <row r="2412" spans="1:6" ht="20.25" hidden="1">
      <c r="A2412" s="219" t="s">
        <v>53</v>
      </c>
      <c r="B2412" s="474"/>
      <c r="C2412" s="235" t="s">
        <v>626</v>
      </c>
      <c r="D2412" s="248"/>
      <c r="E2412" s="214"/>
      <c r="F2412" s="167">
        <f t="shared" si="96"/>
        <v>0</v>
      </c>
    </row>
    <row r="2413" spans="1:6" ht="39" customHeight="1">
      <c r="A2413" s="547" t="s">
        <v>1023</v>
      </c>
      <c r="B2413" s="548"/>
      <c r="C2413" s="235" t="s">
        <v>592</v>
      </c>
      <c r="D2413" s="248">
        <f>D2414</f>
        <v>1370</v>
      </c>
      <c r="E2413" s="214"/>
      <c r="F2413" s="167">
        <f t="shared" si="96"/>
        <v>1370</v>
      </c>
    </row>
    <row r="2414" spans="1:6" ht="20.25">
      <c r="A2414" s="219" t="s">
        <v>63</v>
      </c>
      <c r="B2414" s="474"/>
      <c r="C2414" s="235" t="s">
        <v>560</v>
      </c>
      <c r="D2414" s="248">
        <f>D2415</f>
        <v>1370</v>
      </c>
      <c r="E2414" s="214"/>
      <c r="F2414" s="167">
        <f t="shared" si="96"/>
        <v>1370</v>
      </c>
    </row>
    <row r="2415" spans="1:6" ht="39" customHeight="1">
      <c r="A2415" s="215"/>
      <c r="B2415" s="222" t="s">
        <v>1022</v>
      </c>
      <c r="C2415" s="224" t="s">
        <v>1021</v>
      </c>
      <c r="D2415" s="248">
        <v>1370</v>
      </c>
      <c r="E2415" s="214"/>
      <c r="F2415" s="167">
        <f t="shared" si="96"/>
        <v>1370</v>
      </c>
    </row>
    <row r="2416" spans="1:6" ht="20.25">
      <c r="A2416" s="219" t="s">
        <v>612</v>
      </c>
      <c r="B2416" s="474"/>
      <c r="C2416" s="235" t="s">
        <v>159</v>
      </c>
      <c r="D2416" s="248">
        <f>D2417</f>
        <v>102.58</v>
      </c>
      <c r="E2416" s="214">
        <f>E2417</f>
        <v>0</v>
      </c>
      <c r="F2416" s="167">
        <f t="shared" si="96"/>
        <v>102.58</v>
      </c>
    </row>
    <row r="2417" spans="1:6" ht="20.25">
      <c r="A2417" s="219" t="s">
        <v>66</v>
      </c>
      <c r="B2417" s="474"/>
      <c r="C2417" s="224" t="s">
        <v>67</v>
      </c>
      <c r="D2417" s="248">
        <f>D2419</f>
        <v>102.58</v>
      </c>
      <c r="E2417" s="248">
        <f>E2419</f>
        <v>0</v>
      </c>
      <c r="F2417" s="167">
        <f t="shared" si="96"/>
        <v>102.58</v>
      </c>
    </row>
    <row r="2418" spans="1:6" ht="20.25" hidden="1">
      <c r="A2418" s="219"/>
      <c r="B2418" s="220" t="s">
        <v>68</v>
      </c>
      <c r="C2418" s="224" t="s">
        <v>622</v>
      </c>
      <c r="D2418" s="248"/>
      <c r="E2418" s="214">
        <v>0</v>
      </c>
      <c r="F2418" s="167">
        <f t="shared" si="96"/>
        <v>0</v>
      </c>
    </row>
    <row r="2419" spans="1:6" ht="20.25">
      <c r="A2419" s="215"/>
      <c r="B2419" s="222" t="s">
        <v>347</v>
      </c>
      <c r="C2419" s="224" t="s">
        <v>329</v>
      </c>
      <c r="D2419" s="248">
        <f>68.58+34</f>
        <v>102.58</v>
      </c>
      <c r="E2419" s="214"/>
      <c r="F2419" s="167">
        <f t="shared" si="96"/>
        <v>102.58</v>
      </c>
    </row>
    <row r="2420" spans="1:6" ht="20.25" hidden="1">
      <c r="A2420" s="215"/>
      <c r="B2420" s="222" t="s">
        <v>315</v>
      </c>
      <c r="C2420" s="235">
        <v>56.01</v>
      </c>
      <c r="D2420" s="248"/>
      <c r="E2420" s="214"/>
      <c r="F2420" s="167">
        <f t="shared" si="96"/>
        <v>0</v>
      </c>
    </row>
    <row r="2421" spans="1:6" ht="38.25" customHeight="1">
      <c r="A2421" s="546" t="s">
        <v>1065</v>
      </c>
      <c r="B2421" s="529"/>
      <c r="C2421" s="430">
        <v>56</v>
      </c>
      <c r="D2421" s="248">
        <f>14081+25000</f>
        <v>39081</v>
      </c>
      <c r="E2421" s="214"/>
      <c r="F2421" s="167">
        <f t="shared" si="96"/>
        <v>39081</v>
      </c>
    </row>
    <row r="2422" spans="1:6" ht="39" hidden="1" customHeight="1">
      <c r="A2422" s="522" t="s">
        <v>934</v>
      </c>
      <c r="B2422" s="529"/>
      <c r="C2422" s="235">
        <v>58</v>
      </c>
      <c r="D2422" s="367"/>
      <c r="E2422" s="414"/>
      <c r="F2422" s="167">
        <f t="shared" si="96"/>
        <v>0</v>
      </c>
    </row>
    <row r="2423" spans="1:6" ht="40.5" customHeight="1">
      <c r="A2423" s="544" t="s">
        <v>1002</v>
      </c>
      <c r="B2423" s="529"/>
      <c r="C2423" s="224">
        <v>60</v>
      </c>
      <c r="D2423" s="248">
        <f>58970+13619</f>
        <v>72589</v>
      </c>
      <c r="E2423" s="214"/>
      <c r="F2423" s="167">
        <f t="shared" si="96"/>
        <v>72589</v>
      </c>
    </row>
    <row r="2424" spans="1:6" ht="40.5" hidden="1" customHeight="1">
      <c r="A2424" s="550" t="s">
        <v>1013</v>
      </c>
      <c r="B2424" s="529"/>
      <c r="C2424" s="224">
        <v>61</v>
      </c>
      <c r="D2424" s="248"/>
      <c r="E2424" s="214"/>
      <c r="F2424" s="167"/>
    </row>
    <row r="2425" spans="1:6" ht="20.25">
      <c r="A2425" s="261" t="s">
        <v>475</v>
      </c>
      <c r="B2425" s="474"/>
      <c r="C2425" s="224">
        <v>70</v>
      </c>
      <c r="D2425" s="367">
        <f>D2426</f>
        <v>32466</v>
      </c>
      <c r="E2425" s="414">
        <f>E2426+E2431</f>
        <v>4633</v>
      </c>
      <c r="F2425" s="167">
        <f t="shared" ref="F2425:F2456" si="97">D2425+E2425</f>
        <v>37099</v>
      </c>
    </row>
    <row r="2426" spans="1:6" ht="20.25">
      <c r="A2426" s="226" t="s">
        <v>1014</v>
      </c>
      <c r="B2426" s="474"/>
      <c r="C2426" s="224">
        <v>71</v>
      </c>
      <c r="D2426" s="248">
        <f>18716+100+6200+7450</f>
        <v>32466</v>
      </c>
      <c r="E2426" s="214">
        <f>-100-267+5000</f>
        <v>4633</v>
      </c>
      <c r="F2426" s="167">
        <f t="shared" si="97"/>
        <v>37099</v>
      </c>
    </row>
    <row r="2427" spans="1:6" ht="20.25" hidden="1">
      <c r="A2427" s="219"/>
      <c r="B2427" s="218" t="s">
        <v>81</v>
      </c>
      <c r="C2427" s="241" t="s">
        <v>82</v>
      </c>
      <c r="D2427" s="248"/>
      <c r="E2427" s="214"/>
      <c r="F2427" s="167">
        <f t="shared" si="97"/>
        <v>0</v>
      </c>
    </row>
    <row r="2428" spans="1:6" ht="20.25" hidden="1">
      <c r="A2428" s="219"/>
      <c r="B2428" s="220" t="s">
        <v>83</v>
      </c>
      <c r="C2428" s="241" t="s">
        <v>84</v>
      </c>
      <c r="D2428" s="248"/>
      <c r="E2428" s="214"/>
      <c r="F2428" s="167">
        <f t="shared" si="97"/>
        <v>0</v>
      </c>
    </row>
    <row r="2429" spans="1:6" ht="20.25" hidden="1">
      <c r="A2429" s="219"/>
      <c r="B2429" s="220" t="s">
        <v>94</v>
      </c>
      <c r="C2429" s="241" t="s">
        <v>86</v>
      </c>
      <c r="D2429" s="248"/>
      <c r="E2429" s="214"/>
      <c r="F2429" s="167">
        <f t="shared" si="97"/>
        <v>0</v>
      </c>
    </row>
    <row r="2430" spans="1:6" ht="20.25" hidden="1">
      <c r="A2430" s="219"/>
      <c r="B2430" s="220" t="s">
        <v>87</v>
      </c>
      <c r="C2430" s="241" t="s">
        <v>88</v>
      </c>
      <c r="D2430" s="248"/>
      <c r="E2430" s="214"/>
      <c r="F2430" s="167">
        <f t="shared" si="97"/>
        <v>0</v>
      </c>
    </row>
    <row r="2431" spans="1:6" ht="20.25" hidden="1">
      <c r="A2431" s="526" t="s">
        <v>268</v>
      </c>
      <c r="B2431" s="529"/>
      <c r="C2431" s="241" t="s">
        <v>269</v>
      </c>
      <c r="D2431" s="248"/>
      <c r="E2431" s="214"/>
      <c r="F2431" s="167">
        <f t="shared" si="97"/>
        <v>0</v>
      </c>
    </row>
    <row r="2432" spans="1:6" ht="20.25" hidden="1">
      <c r="A2432" s="219"/>
      <c r="B2432" s="218"/>
      <c r="C2432" s="224">
        <v>72</v>
      </c>
      <c r="D2432" s="248"/>
      <c r="E2432" s="214"/>
      <c r="F2432" s="167">
        <f t="shared" si="97"/>
        <v>0</v>
      </c>
    </row>
    <row r="2433" spans="1:6" ht="20.25" hidden="1">
      <c r="A2433" s="229" t="s">
        <v>270</v>
      </c>
      <c r="B2433" s="218"/>
      <c r="C2433" s="224" t="s">
        <v>271</v>
      </c>
      <c r="D2433" s="248"/>
      <c r="E2433" s="214"/>
      <c r="F2433" s="167">
        <f t="shared" si="97"/>
        <v>0</v>
      </c>
    </row>
    <row r="2434" spans="1:6" ht="20.25" hidden="1">
      <c r="A2434" s="229"/>
      <c r="B2434" s="220" t="s">
        <v>427</v>
      </c>
      <c r="C2434" s="224" t="s">
        <v>273</v>
      </c>
      <c r="D2434" s="248"/>
      <c r="E2434" s="214"/>
      <c r="F2434" s="167">
        <f t="shared" si="97"/>
        <v>0</v>
      </c>
    </row>
    <row r="2435" spans="1:6" ht="20.25" hidden="1">
      <c r="A2435" s="261" t="s">
        <v>614</v>
      </c>
      <c r="B2435" s="220"/>
      <c r="C2435" s="224">
        <v>79</v>
      </c>
      <c r="D2435" s="367">
        <f>D2436</f>
        <v>0</v>
      </c>
      <c r="E2435" s="414">
        <f>E2436</f>
        <v>0</v>
      </c>
      <c r="F2435" s="167">
        <f t="shared" si="97"/>
        <v>0</v>
      </c>
    </row>
    <row r="2436" spans="1:6" ht="20.25" hidden="1">
      <c r="A2436" s="206" t="s">
        <v>1020</v>
      </c>
      <c r="B2436" s="220"/>
      <c r="C2436" s="224">
        <v>81</v>
      </c>
      <c r="D2436" s="367">
        <f>D2437+D2438</f>
        <v>0</v>
      </c>
      <c r="E2436" s="414">
        <f>E2437+E2438</f>
        <v>0</v>
      </c>
      <c r="F2436" s="167">
        <f t="shared" si="97"/>
        <v>0</v>
      </c>
    </row>
    <row r="2437" spans="1:6" ht="20.25" hidden="1">
      <c r="A2437" s="398"/>
      <c r="B2437" s="273"/>
      <c r="C2437" s="224"/>
      <c r="D2437" s="248">
        <v>0</v>
      </c>
      <c r="E2437" s="214">
        <v>0</v>
      </c>
      <c r="F2437" s="167">
        <f t="shared" si="97"/>
        <v>0</v>
      </c>
    </row>
    <row r="2438" spans="1:6" ht="36.75" hidden="1">
      <c r="A2438" s="398"/>
      <c r="B2438" s="463" t="s">
        <v>887</v>
      </c>
      <c r="C2438" s="224" t="s">
        <v>888</v>
      </c>
      <c r="D2438" s="367"/>
      <c r="E2438" s="409"/>
      <c r="F2438" s="167">
        <f t="shared" si="97"/>
        <v>0</v>
      </c>
    </row>
    <row r="2439" spans="1:6" ht="20.25" hidden="1" customHeight="1">
      <c r="A2439" s="206" t="s">
        <v>661</v>
      </c>
      <c r="B2439" s="377"/>
      <c r="C2439" s="224">
        <v>85</v>
      </c>
      <c r="D2439" s="485">
        <f>D2440</f>
        <v>0</v>
      </c>
      <c r="E2439" s="335">
        <f>E2440</f>
        <v>0</v>
      </c>
      <c r="F2439" s="167">
        <f t="shared" si="97"/>
        <v>0</v>
      </c>
    </row>
    <row r="2440" spans="1:6" ht="20.25" hidden="1">
      <c r="A2440" s="242"/>
      <c r="B2440" s="220" t="s">
        <v>311</v>
      </c>
      <c r="C2440" s="224" t="s">
        <v>312</v>
      </c>
      <c r="D2440" s="248"/>
      <c r="E2440" s="214"/>
      <c r="F2440" s="167">
        <f t="shared" si="97"/>
        <v>0</v>
      </c>
    </row>
    <row r="2441" spans="1:6" ht="20.25">
      <c r="A2441" s="244" t="s">
        <v>186</v>
      </c>
      <c r="B2441" s="396"/>
      <c r="C2441" s="224" t="s">
        <v>187</v>
      </c>
      <c r="D2441" s="367">
        <f>D2442+D2443+D2444</f>
        <v>131199.58000000002</v>
      </c>
      <c r="E2441" s="414">
        <f>E2442+E2443+E2444</f>
        <v>4633</v>
      </c>
      <c r="F2441" s="167">
        <f t="shared" si="97"/>
        <v>135832.58000000002</v>
      </c>
    </row>
    <row r="2442" spans="1:6" ht="20.25">
      <c r="A2442" s="244"/>
      <c r="B2442" s="220" t="s">
        <v>450</v>
      </c>
      <c r="C2442" s="241" t="s">
        <v>451</v>
      </c>
      <c r="D2442" s="367">
        <f>1800+20</f>
        <v>1820</v>
      </c>
      <c r="E2442" s="414">
        <v>-100</v>
      </c>
      <c r="F2442" s="167">
        <f t="shared" si="97"/>
        <v>1720</v>
      </c>
    </row>
    <row r="2443" spans="1:6" ht="20.25">
      <c r="A2443" s="244"/>
      <c r="B2443" s="220" t="s">
        <v>605</v>
      </c>
      <c r="C2443" s="241" t="s">
        <v>606</v>
      </c>
      <c r="D2443" s="367">
        <f>2790+58970+68.58+6200+1034</f>
        <v>69062.58</v>
      </c>
      <c r="E2443" s="414"/>
      <c r="F2443" s="167">
        <f t="shared" si="97"/>
        <v>69062.58</v>
      </c>
    </row>
    <row r="2444" spans="1:6" ht="20.25">
      <c r="A2444" s="244"/>
      <c r="B2444" s="475" t="s">
        <v>607</v>
      </c>
      <c r="C2444" s="241" t="s">
        <v>608</v>
      </c>
      <c r="D2444" s="367">
        <f>13136+1350+14081+100+25000+6650</f>
        <v>60317</v>
      </c>
      <c r="E2444" s="414">
        <f>-267+5000</f>
        <v>4733</v>
      </c>
      <c r="F2444" s="167">
        <f t="shared" si="97"/>
        <v>65050</v>
      </c>
    </row>
    <row r="2445" spans="1:6" ht="20.25" hidden="1">
      <c r="A2445" s="244" t="s">
        <v>452</v>
      </c>
      <c r="B2445" s="475"/>
      <c r="C2445" s="224" t="s">
        <v>453</v>
      </c>
      <c r="D2445" s="248"/>
      <c r="E2445" s="214"/>
      <c r="F2445" s="167">
        <f t="shared" si="97"/>
        <v>0</v>
      </c>
    </row>
    <row r="2446" spans="1:6" ht="20.25" hidden="1">
      <c r="A2446" s="244"/>
      <c r="B2446" s="475" t="s">
        <v>454</v>
      </c>
      <c r="C2446" s="224" t="s">
        <v>455</v>
      </c>
      <c r="D2446" s="248"/>
      <c r="E2446" s="214"/>
      <c r="F2446" s="167">
        <f t="shared" si="97"/>
        <v>0</v>
      </c>
    </row>
    <row r="2447" spans="1:6" ht="20.25">
      <c r="A2447" s="244" t="s">
        <v>609</v>
      </c>
      <c r="B2447" s="474"/>
      <c r="C2447" s="224" t="s">
        <v>610</v>
      </c>
      <c r="D2447" s="367">
        <f>990+13619-200</f>
        <v>14409</v>
      </c>
      <c r="E2447" s="414"/>
      <c r="F2447" s="167">
        <f t="shared" si="97"/>
        <v>14409</v>
      </c>
    </row>
    <row r="2448" spans="1:6" ht="20.25" hidden="1">
      <c r="A2448" s="272"/>
      <c r="B2448" s="220"/>
      <c r="C2448" s="202" t="s">
        <v>457</v>
      </c>
      <c r="D2448" s="248"/>
      <c r="E2448" s="214"/>
      <c r="F2448" s="167">
        <f t="shared" si="97"/>
        <v>0</v>
      </c>
    </row>
    <row r="2449" spans="1:6" ht="20.25" hidden="1">
      <c r="A2449" s="231"/>
      <c r="B2449" s="474"/>
      <c r="C2449" s="235" t="s">
        <v>49</v>
      </c>
      <c r="D2449" s="248"/>
      <c r="E2449" s="214"/>
      <c r="F2449" s="167">
        <f t="shared" si="97"/>
        <v>0</v>
      </c>
    </row>
    <row r="2450" spans="1:6" ht="20.25" hidden="1">
      <c r="A2450" s="246"/>
      <c r="B2450" s="474"/>
      <c r="C2450" s="235">
        <v>10</v>
      </c>
      <c r="D2450" s="248"/>
      <c r="E2450" s="214"/>
      <c r="F2450" s="167">
        <f t="shared" si="97"/>
        <v>0</v>
      </c>
    </row>
    <row r="2451" spans="1:6" ht="20.25" hidden="1">
      <c r="A2451" s="246"/>
      <c r="B2451" s="474"/>
      <c r="C2451" s="224">
        <v>20</v>
      </c>
      <c r="D2451" s="248"/>
      <c r="E2451" s="214"/>
      <c r="F2451" s="167">
        <f t="shared" si="97"/>
        <v>0</v>
      </c>
    </row>
    <row r="2452" spans="1:6" ht="20.25" hidden="1">
      <c r="A2452" s="282"/>
      <c r="B2452" s="474"/>
      <c r="C2452" s="235" t="s">
        <v>592</v>
      </c>
      <c r="D2452" s="248"/>
      <c r="E2452" s="214"/>
      <c r="F2452" s="167">
        <f t="shared" si="97"/>
        <v>0</v>
      </c>
    </row>
    <row r="2453" spans="1:6" ht="20.25" hidden="1">
      <c r="A2453" s="219" t="s">
        <v>55</v>
      </c>
      <c r="B2453" s="474"/>
      <c r="C2453" s="235" t="s">
        <v>592</v>
      </c>
      <c r="D2453" s="248"/>
      <c r="E2453" s="214"/>
      <c r="F2453" s="167">
        <f t="shared" si="97"/>
        <v>0</v>
      </c>
    </row>
    <row r="2454" spans="1:6" ht="20.25" hidden="1">
      <c r="A2454" s="215"/>
      <c r="B2454" s="222" t="s">
        <v>100</v>
      </c>
      <c r="C2454" s="235" t="s">
        <v>58</v>
      </c>
      <c r="D2454" s="248"/>
      <c r="E2454" s="214"/>
      <c r="F2454" s="167">
        <f t="shared" si="97"/>
        <v>0</v>
      </c>
    </row>
    <row r="2455" spans="1:6" ht="20.25" hidden="1">
      <c r="A2455" s="219"/>
      <c r="B2455" s="474"/>
      <c r="C2455" s="235" t="s">
        <v>159</v>
      </c>
      <c r="D2455" s="248"/>
      <c r="E2455" s="214"/>
      <c r="F2455" s="167">
        <f t="shared" si="97"/>
        <v>0</v>
      </c>
    </row>
    <row r="2456" spans="1:6" ht="20.25" hidden="1">
      <c r="A2456" s="219" t="s">
        <v>160</v>
      </c>
      <c r="B2456" s="474"/>
      <c r="C2456" s="235" t="s">
        <v>67</v>
      </c>
      <c r="D2456" s="248"/>
      <c r="E2456" s="214"/>
      <c r="F2456" s="167">
        <f t="shared" si="97"/>
        <v>0</v>
      </c>
    </row>
    <row r="2457" spans="1:6" ht="20.25" hidden="1">
      <c r="A2457" s="215"/>
      <c r="B2457" s="220" t="s">
        <v>458</v>
      </c>
      <c r="C2457" s="224" t="s">
        <v>262</v>
      </c>
      <c r="D2457" s="248"/>
      <c r="E2457" s="214"/>
      <c r="F2457" s="167">
        <f t="shared" ref="F2457:F2488" si="98">D2457+E2457</f>
        <v>0</v>
      </c>
    </row>
    <row r="2458" spans="1:6" ht="20.25" hidden="1">
      <c r="A2458" s="215"/>
      <c r="B2458" s="222" t="s">
        <v>624</v>
      </c>
      <c r="C2458" s="235" t="s">
        <v>625</v>
      </c>
      <c r="D2458" s="248"/>
      <c r="E2458" s="214"/>
      <c r="F2458" s="167">
        <f t="shared" si="98"/>
        <v>0</v>
      </c>
    </row>
    <row r="2459" spans="1:6" ht="20.25" hidden="1">
      <c r="A2459" s="215"/>
      <c r="B2459" s="220"/>
      <c r="C2459" s="235">
        <v>59</v>
      </c>
      <c r="D2459" s="248"/>
      <c r="E2459" s="214"/>
      <c r="F2459" s="167">
        <f t="shared" si="98"/>
        <v>0</v>
      </c>
    </row>
    <row r="2460" spans="1:6" ht="20.25" hidden="1">
      <c r="A2460" s="206" t="s">
        <v>459</v>
      </c>
      <c r="B2460" s="208"/>
      <c r="C2460" s="224" t="s">
        <v>108</v>
      </c>
      <c r="D2460" s="248"/>
      <c r="E2460" s="214"/>
      <c r="F2460" s="167">
        <f t="shared" si="98"/>
        <v>0</v>
      </c>
    </row>
    <row r="2461" spans="1:6" ht="20.25" hidden="1">
      <c r="A2461" s="231"/>
      <c r="B2461" s="474"/>
      <c r="C2461" s="224">
        <v>70</v>
      </c>
      <c r="D2461" s="248"/>
      <c r="E2461" s="214"/>
      <c r="F2461" s="167">
        <f t="shared" si="98"/>
        <v>0</v>
      </c>
    </row>
    <row r="2462" spans="1:6" ht="20.25" hidden="1">
      <c r="A2462" s="238"/>
      <c r="B2462" s="474"/>
      <c r="C2462" s="224">
        <v>71</v>
      </c>
      <c r="D2462" s="248"/>
      <c r="E2462" s="214"/>
      <c r="F2462" s="167">
        <f t="shared" si="98"/>
        <v>0</v>
      </c>
    </row>
    <row r="2463" spans="1:6" ht="20.25" hidden="1">
      <c r="A2463" s="219" t="s">
        <v>127</v>
      </c>
      <c r="B2463" s="474"/>
      <c r="C2463" s="224" t="s">
        <v>80</v>
      </c>
      <c r="D2463" s="248"/>
      <c r="E2463" s="214"/>
      <c r="F2463" s="167">
        <f t="shared" si="98"/>
        <v>0</v>
      </c>
    </row>
    <row r="2464" spans="1:6" ht="20.25" hidden="1">
      <c r="A2464" s="219"/>
      <c r="B2464" s="218" t="s">
        <v>81</v>
      </c>
      <c r="C2464" s="241" t="s">
        <v>82</v>
      </c>
      <c r="D2464" s="248"/>
      <c r="E2464" s="214"/>
      <c r="F2464" s="167">
        <f t="shared" si="98"/>
        <v>0</v>
      </c>
    </row>
    <row r="2465" spans="1:6" ht="20.25" hidden="1">
      <c r="A2465" s="219"/>
      <c r="B2465" s="220" t="s">
        <v>83</v>
      </c>
      <c r="C2465" s="241" t="s">
        <v>84</v>
      </c>
      <c r="D2465" s="248"/>
      <c r="E2465" s="214"/>
      <c r="F2465" s="167">
        <f t="shared" si="98"/>
        <v>0</v>
      </c>
    </row>
    <row r="2466" spans="1:6" ht="20.25" hidden="1">
      <c r="A2466" s="219"/>
      <c r="B2466" s="220" t="s">
        <v>94</v>
      </c>
      <c r="C2466" s="241" t="s">
        <v>86</v>
      </c>
      <c r="D2466" s="248"/>
      <c r="E2466" s="214"/>
      <c r="F2466" s="167">
        <f t="shared" si="98"/>
        <v>0</v>
      </c>
    </row>
    <row r="2467" spans="1:6" ht="20.25" hidden="1">
      <c r="A2467" s="219"/>
      <c r="B2467" s="220" t="s">
        <v>87</v>
      </c>
      <c r="C2467" s="241" t="s">
        <v>88</v>
      </c>
      <c r="D2467" s="248"/>
      <c r="E2467" s="214"/>
      <c r="F2467" s="167">
        <f t="shared" si="98"/>
        <v>0</v>
      </c>
    </row>
    <row r="2468" spans="1:6" ht="20.25" hidden="1">
      <c r="A2468" s="526" t="s">
        <v>268</v>
      </c>
      <c r="B2468" s="529"/>
      <c r="C2468" s="241" t="s">
        <v>269</v>
      </c>
      <c r="D2468" s="248"/>
      <c r="E2468" s="214"/>
      <c r="F2468" s="167">
        <f t="shared" si="98"/>
        <v>0</v>
      </c>
    </row>
    <row r="2469" spans="1:6" ht="20.25" hidden="1">
      <c r="A2469" s="215"/>
      <c r="B2469" s="220"/>
      <c r="C2469" s="224">
        <v>79</v>
      </c>
      <c r="D2469" s="248"/>
      <c r="E2469" s="214"/>
      <c r="F2469" s="167">
        <f t="shared" si="98"/>
        <v>0</v>
      </c>
    </row>
    <row r="2470" spans="1:6" ht="20.25" hidden="1">
      <c r="A2470" s="229"/>
      <c r="B2470" s="220"/>
      <c r="C2470" s="224">
        <v>80</v>
      </c>
      <c r="D2470" s="248"/>
      <c r="E2470" s="214"/>
      <c r="F2470" s="167">
        <f t="shared" si="98"/>
        <v>0</v>
      </c>
    </row>
    <row r="2471" spans="1:6" ht="18" hidden="1" customHeight="1">
      <c r="A2471" s="534" t="s">
        <v>460</v>
      </c>
      <c r="B2471" s="529"/>
      <c r="C2471" s="224" t="s">
        <v>275</v>
      </c>
      <c r="D2471" s="248"/>
      <c r="E2471" s="214"/>
      <c r="F2471" s="167">
        <f t="shared" si="98"/>
        <v>0</v>
      </c>
    </row>
    <row r="2472" spans="1:6" ht="20.25" hidden="1">
      <c r="A2472" s="206" t="s">
        <v>461</v>
      </c>
      <c r="B2472" s="205"/>
      <c r="C2472" s="224" t="s">
        <v>277</v>
      </c>
      <c r="D2472" s="248"/>
      <c r="E2472" s="214"/>
      <c r="F2472" s="167">
        <f t="shared" si="98"/>
        <v>0</v>
      </c>
    </row>
    <row r="2473" spans="1:6" ht="20.25" hidden="1">
      <c r="A2473" s="219"/>
      <c r="B2473" s="220"/>
      <c r="C2473" s="224">
        <v>81</v>
      </c>
      <c r="D2473" s="248"/>
      <c r="E2473" s="214"/>
      <c r="F2473" s="167">
        <f t="shared" si="98"/>
        <v>0</v>
      </c>
    </row>
    <row r="2474" spans="1:6" ht="20.25" hidden="1">
      <c r="A2474" s="206" t="s">
        <v>629</v>
      </c>
      <c r="B2474" s="220"/>
      <c r="C2474" s="224" t="s">
        <v>602</v>
      </c>
      <c r="D2474" s="248"/>
      <c r="E2474" s="214"/>
      <c r="F2474" s="167">
        <f t="shared" si="98"/>
        <v>0</v>
      </c>
    </row>
    <row r="2475" spans="1:6" ht="20.25" hidden="1">
      <c r="A2475" s="242"/>
      <c r="B2475" s="243"/>
      <c r="C2475" s="224"/>
      <c r="D2475" s="248"/>
      <c r="E2475" s="214"/>
      <c r="F2475" s="167">
        <f t="shared" si="98"/>
        <v>0</v>
      </c>
    </row>
    <row r="2476" spans="1:6" ht="20.25" hidden="1">
      <c r="A2476" s="535" t="s">
        <v>462</v>
      </c>
      <c r="B2476" s="529"/>
      <c r="C2476" s="224" t="s">
        <v>463</v>
      </c>
      <c r="D2476" s="248"/>
      <c r="E2476" s="214"/>
      <c r="F2476" s="167">
        <f t="shared" si="98"/>
        <v>0</v>
      </c>
    </row>
    <row r="2477" spans="1:6" ht="20.25" hidden="1">
      <c r="A2477" s="244" t="s">
        <v>464</v>
      </c>
      <c r="B2477" s="220"/>
      <c r="C2477" s="224" t="s">
        <v>465</v>
      </c>
      <c r="D2477" s="248"/>
      <c r="E2477" s="214"/>
      <c r="F2477" s="167">
        <f t="shared" si="98"/>
        <v>0</v>
      </c>
    </row>
    <row r="2478" spans="1:6" ht="20.25" hidden="1">
      <c r="A2478" s="244" t="s">
        <v>466</v>
      </c>
      <c r="B2478" s="220"/>
      <c r="C2478" s="224" t="s">
        <v>467</v>
      </c>
      <c r="D2478" s="248"/>
      <c r="E2478" s="214"/>
      <c r="F2478" s="167">
        <f t="shared" si="98"/>
        <v>0</v>
      </c>
    </row>
    <row r="2479" spans="1:6" ht="20.25" hidden="1">
      <c r="A2479" s="244" t="s">
        <v>468</v>
      </c>
      <c r="B2479" s="220"/>
      <c r="C2479" s="224" t="s">
        <v>469</v>
      </c>
      <c r="D2479" s="248"/>
      <c r="E2479" s="214"/>
      <c r="F2479" s="167">
        <f t="shared" si="98"/>
        <v>0</v>
      </c>
    </row>
    <row r="2480" spans="1:6" ht="20.25" hidden="1">
      <c r="A2480" s="236" t="s">
        <v>470</v>
      </c>
      <c r="B2480" s="220"/>
      <c r="C2480" s="224" t="s">
        <v>471</v>
      </c>
      <c r="D2480" s="248"/>
      <c r="E2480" s="214"/>
      <c r="F2480" s="167">
        <f t="shared" si="98"/>
        <v>0</v>
      </c>
    </row>
    <row r="2481" spans="1:6" ht="20.25" hidden="1">
      <c r="A2481" s="271"/>
      <c r="B2481" s="474"/>
      <c r="C2481" s="224"/>
      <c r="D2481" s="248"/>
      <c r="E2481" s="214"/>
      <c r="F2481" s="167">
        <f t="shared" si="98"/>
        <v>0</v>
      </c>
    </row>
    <row r="2482" spans="1:6" ht="20.25" hidden="1">
      <c r="A2482" s="285"/>
      <c r="B2482" s="397"/>
      <c r="C2482" s="224" t="s">
        <v>472</v>
      </c>
      <c r="D2482" s="248"/>
      <c r="E2482" s="214"/>
      <c r="F2482" s="167">
        <f t="shared" si="98"/>
        <v>0</v>
      </c>
    </row>
    <row r="2483" spans="1:6" ht="20.25" hidden="1">
      <c r="A2483" s="231"/>
      <c r="B2483" s="474"/>
      <c r="C2483" s="224" t="s">
        <v>473</v>
      </c>
      <c r="D2483" s="248"/>
      <c r="E2483" s="214"/>
      <c r="F2483" s="167">
        <f t="shared" si="98"/>
        <v>0</v>
      </c>
    </row>
    <row r="2484" spans="1:6" ht="20.25" hidden="1">
      <c r="A2484" s="283"/>
      <c r="B2484" s="284" t="s">
        <v>456</v>
      </c>
      <c r="C2484" s="202" t="s">
        <v>303</v>
      </c>
      <c r="D2484" s="248"/>
      <c r="E2484" s="214"/>
      <c r="F2484" s="167">
        <f t="shared" si="98"/>
        <v>0</v>
      </c>
    </row>
    <row r="2485" spans="1:6" ht="20.25" hidden="1">
      <c r="A2485" s="247" t="s">
        <v>114</v>
      </c>
      <c r="B2485" s="474"/>
      <c r="C2485" s="235" t="s">
        <v>49</v>
      </c>
      <c r="D2485" s="248"/>
      <c r="E2485" s="214"/>
      <c r="F2485" s="167">
        <f t="shared" si="98"/>
        <v>0</v>
      </c>
    </row>
    <row r="2486" spans="1:6" ht="20.25" hidden="1">
      <c r="A2486" s="204" t="s">
        <v>561</v>
      </c>
      <c r="B2486" s="474"/>
      <c r="C2486" s="235">
        <v>10</v>
      </c>
      <c r="D2486" s="248"/>
      <c r="E2486" s="214"/>
      <c r="F2486" s="167">
        <f t="shared" si="98"/>
        <v>0</v>
      </c>
    </row>
    <row r="2487" spans="1:6" ht="20.25" hidden="1">
      <c r="A2487" s="206" t="s">
        <v>562</v>
      </c>
      <c r="B2487" s="474"/>
      <c r="C2487" s="224">
        <v>20</v>
      </c>
      <c r="D2487" s="248"/>
      <c r="E2487" s="214"/>
      <c r="F2487" s="167">
        <f t="shared" si="98"/>
        <v>0</v>
      </c>
    </row>
    <row r="2488" spans="1:6" ht="20.25" hidden="1">
      <c r="A2488" s="219" t="s">
        <v>611</v>
      </c>
      <c r="B2488" s="474"/>
      <c r="C2488" s="235" t="s">
        <v>52</v>
      </c>
      <c r="D2488" s="248"/>
      <c r="E2488" s="214"/>
      <c r="F2488" s="167">
        <f t="shared" si="98"/>
        <v>0</v>
      </c>
    </row>
    <row r="2489" spans="1:6" ht="20.25" hidden="1">
      <c r="A2489" s="219" t="s">
        <v>53</v>
      </c>
      <c r="B2489" s="474"/>
      <c r="C2489" s="235" t="s">
        <v>626</v>
      </c>
      <c r="D2489" s="248"/>
      <c r="E2489" s="214"/>
      <c r="F2489" s="167">
        <f t="shared" ref="F2489:F2502" si="99">D2489+E2489</f>
        <v>0</v>
      </c>
    </row>
    <row r="2490" spans="1:6" ht="20.25" hidden="1">
      <c r="A2490" s="282"/>
      <c r="B2490" s="474"/>
      <c r="C2490" s="235" t="s">
        <v>592</v>
      </c>
      <c r="D2490" s="248"/>
      <c r="E2490" s="214"/>
      <c r="F2490" s="167">
        <f t="shared" si="99"/>
        <v>0</v>
      </c>
    </row>
    <row r="2491" spans="1:6" ht="20.25" hidden="1">
      <c r="A2491" s="219" t="s">
        <v>105</v>
      </c>
      <c r="B2491" s="474"/>
      <c r="C2491" s="235" t="s">
        <v>56</v>
      </c>
      <c r="D2491" s="248"/>
      <c r="E2491" s="214"/>
      <c r="F2491" s="167">
        <f t="shared" si="99"/>
        <v>0</v>
      </c>
    </row>
    <row r="2492" spans="1:6" ht="20.25" hidden="1">
      <c r="A2492" s="215"/>
      <c r="B2492" s="222" t="s">
        <v>100</v>
      </c>
      <c r="C2492" s="224" t="s">
        <v>58</v>
      </c>
      <c r="D2492" s="248"/>
      <c r="E2492" s="214"/>
      <c r="F2492" s="167">
        <f t="shared" si="99"/>
        <v>0</v>
      </c>
    </row>
    <row r="2493" spans="1:6" ht="20.25" hidden="1">
      <c r="A2493" s="219" t="s">
        <v>304</v>
      </c>
      <c r="B2493" s="474"/>
      <c r="C2493" s="235">
        <v>55</v>
      </c>
      <c r="D2493" s="248"/>
      <c r="E2493" s="214"/>
      <c r="F2493" s="167">
        <f t="shared" si="99"/>
        <v>0</v>
      </c>
    </row>
    <row r="2494" spans="1:6" ht="20.25" hidden="1">
      <c r="A2494" s="219" t="s">
        <v>66</v>
      </c>
      <c r="B2494" s="474"/>
      <c r="C2494" s="224" t="s">
        <v>67</v>
      </c>
      <c r="D2494" s="248"/>
      <c r="E2494" s="214"/>
      <c r="F2494" s="167">
        <f t="shared" si="99"/>
        <v>0</v>
      </c>
    </row>
    <row r="2495" spans="1:6" ht="20.25" hidden="1">
      <c r="A2495" s="219"/>
      <c r="B2495" s="220" t="s">
        <v>305</v>
      </c>
      <c r="C2495" s="224" t="s">
        <v>625</v>
      </c>
      <c r="D2495" s="248"/>
      <c r="E2495" s="214"/>
      <c r="F2495" s="167">
        <f t="shared" si="99"/>
        <v>0</v>
      </c>
    </row>
    <row r="2496" spans="1:6" ht="20.25" hidden="1">
      <c r="A2496" s="215"/>
      <c r="B2496" s="222" t="s">
        <v>306</v>
      </c>
      <c r="C2496" s="224" t="s">
        <v>307</v>
      </c>
      <c r="D2496" s="248"/>
      <c r="E2496" s="214"/>
      <c r="F2496" s="167">
        <f t="shared" si="99"/>
        <v>0</v>
      </c>
    </row>
    <row r="2497" spans="1:6" ht="20.25" hidden="1">
      <c r="A2497" s="286"/>
      <c r="B2497" s="222"/>
      <c r="C2497" s="224"/>
      <c r="D2497" s="248"/>
      <c r="E2497" s="214"/>
      <c r="F2497" s="167">
        <f t="shared" si="99"/>
        <v>0</v>
      </c>
    </row>
    <row r="2498" spans="1:6" ht="20.25" hidden="1">
      <c r="A2498" s="286"/>
      <c r="B2498" s="222"/>
      <c r="C2498" s="224"/>
      <c r="D2498" s="248"/>
      <c r="E2498" s="214"/>
      <c r="F2498" s="167">
        <f t="shared" si="99"/>
        <v>0</v>
      </c>
    </row>
    <row r="2499" spans="1:6" ht="20.25" hidden="1">
      <c r="A2499" s="287" t="s">
        <v>613</v>
      </c>
      <c r="B2499" s="474"/>
      <c r="C2499" s="224">
        <v>59</v>
      </c>
      <c r="D2499" s="248"/>
      <c r="E2499" s="214"/>
      <c r="F2499" s="167">
        <f t="shared" si="99"/>
        <v>0</v>
      </c>
    </row>
    <row r="2500" spans="1:6" ht="20.25" hidden="1">
      <c r="A2500" s="261"/>
      <c r="B2500" s="474" t="s">
        <v>310</v>
      </c>
      <c r="C2500" s="224">
        <v>5902</v>
      </c>
      <c r="D2500" s="248"/>
      <c r="E2500" s="214"/>
      <c r="F2500" s="167">
        <f t="shared" si="99"/>
        <v>0</v>
      </c>
    </row>
    <row r="2501" spans="1:6" ht="20.25" hidden="1">
      <c r="A2501" s="261"/>
      <c r="B2501" s="474" t="s">
        <v>456</v>
      </c>
      <c r="C2501" s="224" t="s">
        <v>471</v>
      </c>
      <c r="D2501" s="248"/>
      <c r="E2501" s="214"/>
      <c r="F2501" s="167">
        <f t="shared" si="99"/>
        <v>0</v>
      </c>
    </row>
    <row r="2502" spans="1:6" ht="21" thickBot="1">
      <c r="A2502" s="316" t="s">
        <v>904</v>
      </c>
      <c r="B2502" s="317"/>
      <c r="C2502" s="318" t="s">
        <v>474</v>
      </c>
      <c r="D2502" s="381">
        <f>D1679-D1837</f>
        <v>-2179</v>
      </c>
      <c r="E2502" s="419">
        <f>E1679-E1837</f>
        <v>0</v>
      </c>
      <c r="F2502" s="288">
        <f t="shared" si="99"/>
        <v>-2179</v>
      </c>
    </row>
    <row r="2503" spans="1:6" ht="18">
      <c r="A2503" s="152"/>
      <c r="B2503" s="153"/>
      <c r="C2503" s="154"/>
    </row>
    <row r="2504" spans="1:6" ht="18">
      <c r="A2504" s="152"/>
      <c r="B2504" s="153"/>
      <c r="C2504" s="154"/>
    </row>
    <row r="2505" spans="1:6" ht="13.5" customHeight="1">
      <c r="A2505" s="152"/>
      <c r="B2505" s="153"/>
      <c r="C2505" s="154"/>
    </row>
    <row r="2506" spans="1:6" ht="18">
      <c r="A2506" s="152"/>
      <c r="B2506" s="155"/>
      <c r="C2506" s="156" t="s">
        <v>1041</v>
      </c>
    </row>
    <row r="2507" spans="1:6" ht="19.5" customHeight="1">
      <c r="A2507" s="157"/>
      <c r="B2507" s="158"/>
      <c r="C2507" s="158" t="s">
        <v>1039</v>
      </c>
    </row>
    <row r="2508" spans="1:6" ht="13.5" customHeight="1">
      <c r="A2508" s="159"/>
      <c r="B2508" s="160"/>
    </row>
    <row r="2509" spans="1:6" ht="13.5" customHeight="1">
      <c r="A2509" s="161"/>
      <c r="B2509" s="160"/>
    </row>
    <row r="2510" spans="1:6" ht="13.5" customHeight="1">
      <c r="A2510" s="161"/>
      <c r="B2510" s="160"/>
      <c r="C2510" s="162"/>
    </row>
    <row r="2511" spans="1:6" ht="13.5" customHeight="1">
      <c r="A2511" s="161"/>
    </row>
  </sheetData>
  <autoFilter ref="A1:C1692"/>
  <mergeCells count="294">
    <mergeCell ref="A42:B42"/>
    <mergeCell ref="A224:B224"/>
    <mergeCell ref="A1003:B1003"/>
    <mergeCell ref="A150:B150"/>
    <mergeCell ref="A141:B141"/>
    <mergeCell ref="A2295:B2295"/>
    <mergeCell ref="A2064:B2064"/>
    <mergeCell ref="A2252:B2252"/>
    <mergeCell ref="A1817:B1817"/>
    <mergeCell ref="A2201:B2201"/>
    <mergeCell ref="A175:B175"/>
    <mergeCell ref="A182:B182"/>
    <mergeCell ref="A221:B221"/>
    <mergeCell ref="A44:B44"/>
    <mergeCell ref="A47:B47"/>
    <mergeCell ref="A128:B128"/>
    <mergeCell ref="A107:B107"/>
    <mergeCell ref="A2030:B2030"/>
    <mergeCell ref="A373:B373"/>
    <mergeCell ref="A405:B405"/>
    <mergeCell ref="A463:B463"/>
    <mergeCell ref="A471:B471"/>
    <mergeCell ref="A548:B548"/>
    <mergeCell ref="A2199:B2199"/>
    <mergeCell ref="A16:B16"/>
    <mergeCell ref="A19:B19"/>
    <mergeCell ref="A24:B24"/>
    <mergeCell ref="A38:B38"/>
    <mergeCell ref="A25:B25"/>
    <mergeCell ref="B5:F5"/>
    <mergeCell ref="A140:B140"/>
    <mergeCell ref="A110:B110"/>
    <mergeCell ref="A172:B172"/>
    <mergeCell ref="A159:B159"/>
    <mergeCell ref="A151:B151"/>
    <mergeCell ref="A131:B131"/>
    <mergeCell ref="A136:B136"/>
    <mergeCell ref="A137:B137"/>
    <mergeCell ref="A93:B93"/>
    <mergeCell ref="A98:B98"/>
    <mergeCell ref="A45:B45"/>
    <mergeCell ref="A54:B54"/>
    <mergeCell ref="A59:B59"/>
    <mergeCell ref="A66:B66"/>
    <mergeCell ref="A76:B76"/>
    <mergeCell ref="A79:B79"/>
    <mergeCell ref="A99:B99"/>
    <mergeCell ref="A43:B43"/>
    <mergeCell ref="A123:B123"/>
    <mergeCell ref="A125:B125"/>
    <mergeCell ref="A87:B87"/>
    <mergeCell ref="A88:B88"/>
    <mergeCell ref="A92:B92"/>
    <mergeCell ref="A139:B139"/>
    <mergeCell ref="A384:B384"/>
    <mergeCell ref="A170:B170"/>
    <mergeCell ref="A171:B171"/>
    <mergeCell ref="A225:B225"/>
    <mergeCell ref="A230:B230"/>
    <mergeCell ref="A236:B236"/>
    <mergeCell ref="A222:B222"/>
    <mergeCell ref="A176:B176"/>
    <mergeCell ref="A173:B173"/>
    <mergeCell ref="A142:B142"/>
    <mergeCell ref="A149:B149"/>
    <mergeCell ref="A152:B152"/>
    <mergeCell ref="A249:B249"/>
    <mergeCell ref="A281:B281"/>
    <mergeCell ref="A153:B153"/>
    <mergeCell ref="A143:B143"/>
    <mergeCell ref="A154:B154"/>
    <mergeCell ref="A155:B155"/>
    <mergeCell ref="A156:B156"/>
    <mergeCell ref="A464:B464"/>
    <mergeCell ref="A479:B479"/>
    <mergeCell ref="A512:B512"/>
    <mergeCell ref="A549:B549"/>
    <mergeCell ref="A145:B145"/>
    <mergeCell ref="A144:B144"/>
    <mergeCell ref="A316:B316"/>
    <mergeCell ref="A325:B325"/>
    <mergeCell ref="A346:B346"/>
    <mergeCell ref="A347:B347"/>
    <mergeCell ref="A383:B383"/>
    <mergeCell ref="A426:B426"/>
    <mergeCell ref="A428:B428"/>
    <mergeCell ref="A431:B431"/>
    <mergeCell ref="A406:B406"/>
    <mergeCell ref="A348:B348"/>
    <mergeCell ref="A362:B362"/>
    <mergeCell ref="A374:B374"/>
    <mergeCell ref="A408:B408"/>
    <mergeCell ref="A407:B407"/>
    <mergeCell ref="A157:B157"/>
    <mergeCell ref="A158:B158"/>
    <mergeCell ref="A567:B567"/>
    <mergeCell ref="A468:B468"/>
    <mergeCell ref="A569:B569"/>
    <mergeCell ref="A601:B601"/>
    <mergeCell ref="A604:B604"/>
    <mergeCell ref="A625:B625"/>
    <mergeCell ref="A565:B565"/>
    <mergeCell ref="A550:B550"/>
    <mergeCell ref="A605:B605"/>
    <mergeCell ref="A603:B603"/>
    <mergeCell ref="A664:B664"/>
    <mergeCell ref="A700:B700"/>
    <mergeCell ref="A616:B616"/>
    <mergeCell ref="A608:B608"/>
    <mergeCell ref="A651:B651"/>
    <mergeCell ref="A732:B732"/>
    <mergeCell ref="A656:B656"/>
    <mergeCell ref="A655:B655"/>
    <mergeCell ref="A672:B672"/>
    <mergeCell ref="A749:B749"/>
    <mergeCell ref="A758:B758"/>
    <mergeCell ref="A764:B764"/>
    <mergeCell ref="A785:B785"/>
    <mergeCell ref="A794:B794"/>
    <mergeCell ref="A787:B787"/>
    <mergeCell ref="A786:B786"/>
    <mergeCell ref="A802:B802"/>
    <mergeCell ref="A831:B831"/>
    <mergeCell ref="A784:B784"/>
    <mergeCell ref="A834:B834"/>
    <mergeCell ref="A839:B839"/>
    <mergeCell ref="A874:B874"/>
    <mergeCell ref="A877:B877"/>
    <mergeCell ref="A900:B900"/>
    <mergeCell ref="A901:B901"/>
    <mergeCell ref="A902:B902"/>
    <mergeCell ref="A903:B903"/>
    <mergeCell ref="A905:B905"/>
    <mergeCell ref="A906:B906"/>
    <mergeCell ref="A912:B912"/>
    <mergeCell ref="A917:B917"/>
    <mergeCell ref="A924:B924"/>
    <mergeCell ref="A934:B934"/>
    <mergeCell ref="A938:B938"/>
    <mergeCell ref="A946:B946"/>
    <mergeCell ref="A947:B947"/>
    <mergeCell ref="A951:B951"/>
    <mergeCell ref="A952:B952"/>
    <mergeCell ref="A966:B966"/>
    <mergeCell ref="A969:B969"/>
    <mergeCell ref="A982:B982"/>
    <mergeCell ref="A984:B984"/>
    <mergeCell ref="A989:B989"/>
    <mergeCell ref="A994:B994"/>
    <mergeCell ref="A1002:B1002"/>
    <mergeCell ref="A1004:B1004"/>
    <mergeCell ref="A1005:B1005"/>
    <mergeCell ref="A1006:B1006"/>
    <mergeCell ref="A1007:B1007"/>
    <mergeCell ref="A1012:B1012"/>
    <mergeCell ref="A1015:B1015"/>
    <mergeCell ref="A1016:B1016"/>
    <mergeCell ref="A1017:B1017"/>
    <mergeCell ref="A1018:B1018"/>
    <mergeCell ref="A1020:B1020"/>
    <mergeCell ref="A1021:B1021"/>
    <mergeCell ref="A1027:B1027"/>
    <mergeCell ref="A1061:B1061"/>
    <mergeCell ref="A1062:B1062"/>
    <mergeCell ref="A1067:B1067"/>
    <mergeCell ref="A1073:B1073"/>
    <mergeCell ref="A1115:B1115"/>
    <mergeCell ref="A1150:B1150"/>
    <mergeCell ref="A1159:B1159"/>
    <mergeCell ref="A1180:B1180"/>
    <mergeCell ref="A1120:B1120"/>
    <mergeCell ref="A1181:B1181"/>
    <mergeCell ref="A1182:B1182"/>
    <mergeCell ref="A1196:B1196"/>
    <mergeCell ref="A1215:B1215"/>
    <mergeCell ref="A1256:B1256"/>
    <mergeCell ref="A1261:B1261"/>
    <mergeCell ref="A1216:B1216"/>
    <mergeCell ref="A1754:B1754"/>
    <mergeCell ref="A1306:B1306"/>
    <mergeCell ref="A1337:B1337"/>
    <mergeCell ref="A1389:B1389"/>
    <mergeCell ref="A1432:B1432"/>
    <mergeCell ref="A1475:B1475"/>
    <mergeCell ref="A1514:B1514"/>
    <mergeCell ref="A1440:B1440"/>
    <mergeCell ref="A1487:B1487"/>
    <mergeCell ref="A1546:B1546"/>
    <mergeCell ref="A1709:B1709"/>
    <mergeCell ref="A1710:B1710"/>
    <mergeCell ref="A1711:B1711"/>
    <mergeCell ref="A1712:B1712"/>
    <mergeCell ref="A1714:B1714"/>
    <mergeCell ref="A1715:B1715"/>
    <mergeCell ref="A1721:B1721"/>
    <mergeCell ref="A1726:B1726"/>
    <mergeCell ref="A1733:B1733"/>
    <mergeCell ref="A2476:B2476"/>
    <mergeCell ref="A2400:B2400"/>
    <mergeCell ref="A2261:B2261"/>
    <mergeCell ref="A2304:B2304"/>
    <mergeCell ref="A2337:B2337"/>
    <mergeCell ref="A2369:B2369"/>
    <mergeCell ref="A2424:B2424"/>
    <mergeCell ref="A2423:B2423"/>
    <mergeCell ref="A2471:B2471"/>
    <mergeCell ref="A2395:B2395"/>
    <mergeCell ref="A2294:B2294"/>
    <mergeCell ref="A2431:B2431"/>
    <mergeCell ref="A2468:B2468"/>
    <mergeCell ref="A2421:B2421"/>
    <mergeCell ref="A2253:B2253"/>
    <mergeCell ref="A1939:B1939"/>
    <mergeCell ref="A1973:B1973"/>
    <mergeCell ref="A1982:B1982"/>
    <mergeCell ref="A2422:B2422"/>
    <mergeCell ref="A2031:B2031"/>
    <mergeCell ref="A2063:B2063"/>
    <mergeCell ref="A2296:B2296"/>
    <mergeCell ref="A2251:B2251"/>
    <mergeCell ref="A2248:B2248"/>
    <mergeCell ref="A2200:B2200"/>
    <mergeCell ref="A2131:B2131"/>
    <mergeCell ref="A2039:B2039"/>
    <mergeCell ref="A2080:B2080"/>
    <mergeCell ref="A2250:B2250"/>
    <mergeCell ref="A2123:B2123"/>
    <mergeCell ref="A2121:B2121"/>
    <mergeCell ref="A2060:B2060"/>
    <mergeCell ref="A2413:B2413"/>
    <mergeCell ref="A2216:B2216"/>
    <mergeCell ref="A2220:B2220"/>
    <mergeCell ref="A2004:B2004"/>
    <mergeCell ref="A2005:B2005"/>
    <mergeCell ref="A2061:B2061"/>
    <mergeCell ref="A2162:B2162"/>
    <mergeCell ref="A2122:B2122"/>
    <mergeCell ref="A2086:B2086"/>
    <mergeCell ref="A2082:B2082"/>
    <mergeCell ref="A2085:B2085"/>
    <mergeCell ref="A2003:B2003"/>
    <mergeCell ref="A1896:B1896"/>
    <mergeCell ref="A1821:B1821"/>
    <mergeCell ref="A2109:B2109"/>
    <mergeCell ref="A2143:B2143"/>
    <mergeCell ref="A1885:B1885"/>
    <mergeCell ref="A1838:B1838"/>
    <mergeCell ref="A1839:B1839"/>
    <mergeCell ref="A2019:B2019"/>
    <mergeCell ref="A1890:B1890"/>
    <mergeCell ref="A1827:B1827"/>
    <mergeCell ref="A1843:B1843"/>
    <mergeCell ref="A1850:B1850"/>
    <mergeCell ref="A1841:B1841"/>
    <mergeCell ref="A1884:B1884"/>
    <mergeCell ref="A1790:B1790"/>
    <mergeCell ref="A1796:B1796"/>
    <mergeCell ref="A1844:B1844"/>
    <mergeCell ref="A1840:B1840"/>
    <mergeCell ref="A1816:B1816"/>
    <mergeCell ref="A1818:B1818"/>
    <mergeCell ref="A1822:B1822"/>
    <mergeCell ref="A1823:B1823"/>
    <mergeCell ref="A1819:B1819"/>
    <mergeCell ref="A1820:B1820"/>
    <mergeCell ref="A1801:B1801"/>
    <mergeCell ref="A1815:B1815"/>
    <mergeCell ref="A1809:B1809"/>
    <mergeCell ref="A1811:B1811"/>
    <mergeCell ref="A1810:B1810"/>
    <mergeCell ref="G1327:G1328"/>
    <mergeCell ref="A1812:B1812"/>
    <mergeCell ref="A146:B146"/>
    <mergeCell ref="A21:B21"/>
    <mergeCell ref="A48:B48"/>
    <mergeCell ref="A58:B58"/>
    <mergeCell ref="A80:B80"/>
    <mergeCell ref="A86:B86"/>
    <mergeCell ref="A624:B624"/>
    <mergeCell ref="A1412:B1412"/>
    <mergeCell ref="A1759:B1759"/>
    <mergeCell ref="A1760:B1760"/>
    <mergeCell ref="A1772:B1772"/>
    <mergeCell ref="A1775:B1775"/>
    <mergeCell ref="A1788:B1788"/>
    <mergeCell ref="G170:G247"/>
    <mergeCell ref="A1572:B1572"/>
    <mergeCell ref="A1605:B1605"/>
    <mergeCell ref="A1642:B1642"/>
    <mergeCell ref="A1645:B1645"/>
    <mergeCell ref="A1650:B1650"/>
    <mergeCell ref="A1755:B1755"/>
    <mergeCell ref="A1684:B1684"/>
    <mergeCell ref="A1687:B1687"/>
  </mergeCells>
  <printOptions horizontalCentered="1"/>
  <pageMargins left="0.15748031496062992" right="0.69" top="0.19685039370078741" bottom="0.19685039370078741" header="0.47244094488188981" footer="0.19685039370078741"/>
  <pageSetup paperSize="9" scale="54" orientation="portrait" horizontalDpi="4294967294" verticalDpi="4294967294" r:id="rId1"/>
  <headerFooter alignWithMargins="0">
    <oddHeader>&amp;R&amp;P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10"/>
    <pageSetUpPr fitToPage="1"/>
  </sheetPr>
  <dimension ref="A1:D51"/>
  <sheetViews>
    <sheetView topLeftCell="A16" workbookViewId="0">
      <selection activeCell="B25" sqref="B25"/>
    </sheetView>
  </sheetViews>
  <sheetFormatPr defaultRowHeight="12.75"/>
  <cols>
    <col min="1" max="1" width="67.28515625" style="81" customWidth="1"/>
    <col min="2" max="2" width="15.42578125" style="81" customWidth="1"/>
    <col min="3" max="3" width="16.42578125" style="81" customWidth="1"/>
    <col min="4" max="4" width="19" style="81" bestFit="1" customWidth="1"/>
    <col min="5" max="16384" width="9.140625" style="81"/>
  </cols>
  <sheetData>
    <row r="1" spans="1:4" ht="18">
      <c r="A1" s="84" t="s">
        <v>935</v>
      </c>
      <c r="D1" s="85" t="s">
        <v>936</v>
      </c>
    </row>
    <row r="2" spans="1:4" ht="18">
      <c r="A2" s="84" t="s">
        <v>937</v>
      </c>
      <c r="B2" s="84"/>
    </row>
    <row r="3" spans="1:4" ht="18">
      <c r="A3" s="86"/>
      <c r="B3" s="84"/>
    </row>
    <row r="4" spans="1:4" ht="41.25" customHeight="1">
      <c r="A4" s="567" t="s">
        <v>1050</v>
      </c>
      <c r="B4" s="567"/>
      <c r="C4" s="567"/>
      <c r="D4" s="567"/>
    </row>
    <row r="5" spans="1:4" ht="16.5" thickBot="1">
      <c r="A5" s="87"/>
      <c r="D5" s="197" t="s">
        <v>938</v>
      </c>
    </row>
    <row r="6" spans="1:4" ht="36.75" thickBot="1">
      <c r="A6" s="88" t="s">
        <v>939</v>
      </c>
      <c r="B6" s="89" t="s">
        <v>1047</v>
      </c>
      <c r="C6" s="89" t="s">
        <v>870</v>
      </c>
      <c r="D6" s="135" t="s">
        <v>1068</v>
      </c>
    </row>
    <row r="7" spans="1:4" ht="18">
      <c r="A7" s="171" t="s">
        <v>940</v>
      </c>
      <c r="B7" s="172">
        <f>SUM(B8:B12)</f>
        <v>163992.03</v>
      </c>
      <c r="C7" s="172">
        <f>SUM(C8:C12)</f>
        <v>131.19999999999999</v>
      </c>
      <c r="D7" s="432">
        <f>B7+C7</f>
        <v>164123.23000000001</v>
      </c>
    </row>
    <row r="8" spans="1:4" ht="18">
      <c r="A8" s="94" t="s">
        <v>941</v>
      </c>
      <c r="B8" s="95">
        <f>B23+B36</f>
        <v>62318.03</v>
      </c>
      <c r="C8" s="95">
        <f>C23+C36</f>
        <v>131.19999999999999</v>
      </c>
      <c r="D8" s="433">
        <f t="shared" ref="D8:D47" si="0">B8+C8</f>
        <v>62449.229999999996</v>
      </c>
    </row>
    <row r="9" spans="1:4" ht="28.5" customHeight="1">
      <c r="A9" s="96" t="s">
        <v>942</v>
      </c>
      <c r="B9" s="95">
        <f>B24</f>
        <v>-6901</v>
      </c>
      <c r="C9" s="95">
        <f>C24</f>
        <v>0</v>
      </c>
      <c r="D9" s="433">
        <f t="shared" si="0"/>
        <v>-6901</v>
      </c>
    </row>
    <row r="10" spans="1:4" ht="18">
      <c r="A10" s="94" t="s">
        <v>851</v>
      </c>
      <c r="B10" s="95">
        <f>B37</f>
        <v>6901</v>
      </c>
      <c r="C10" s="95">
        <f>C37</f>
        <v>0</v>
      </c>
      <c r="D10" s="433">
        <f t="shared" si="0"/>
        <v>6901</v>
      </c>
    </row>
    <row r="11" spans="1:4" ht="18">
      <c r="A11" s="94" t="s">
        <v>943</v>
      </c>
      <c r="B11" s="95">
        <f>B25+B38</f>
        <v>101674</v>
      </c>
      <c r="C11" s="95">
        <f>C25+C38</f>
        <v>0</v>
      </c>
      <c r="D11" s="433">
        <f t="shared" si="0"/>
        <v>101674</v>
      </c>
    </row>
    <row r="12" spans="1:4" ht="18" hidden="1">
      <c r="A12" s="94" t="s">
        <v>944</v>
      </c>
      <c r="B12" s="95">
        <f>B39</f>
        <v>0</v>
      </c>
      <c r="C12" s="95">
        <f>C39</f>
        <v>0</v>
      </c>
      <c r="D12" s="433">
        <f t="shared" si="0"/>
        <v>0</v>
      </c>
    </row>
    <row r="13" spans="1:4" ht="18">
      <c r="A13" s="92" t="s">
        <v>945</v>
      </c>
      <c r="B13" s="93">
        <f>B14+B15+B16+B17+B18+B19</f>
        <v>165119.96</v>
      </c>
      <c r="C13" s="93">
        <f>C14+C15+C16+C17+C18+C19</f>
        <v>131.19999999999999</v>
      </c>
      <c r="D13" s="434">
        <f>D14+D15+D16+D17+D18+D19</f>
        <v>165251.15999999997</v>
      </c>
    </row>
    <row r="14" spans="1:4" ht="18">
      <c r="A14" s="96" t="s">
        <v>946</v>
      </c>
      <c r="B14" s="95">
        <f>B27+B41</f>
        <v>10805.96</v>
      </c>
      <c r="C14" s="95">
        <f>C27+C41</f>
        <v>10</v>
      </c>
      <c r="D14" s="433">
        <f t="shared" si="0"/>
        <v>10815.96</v>
      </c>
    </row>
    <row r="15" spans="1:4" ht="18" customHeight="1">
      <c r="A15" s="96" t="s">
        <v>947</v>
      </c>
      <c r="B15" s="95">
        <f t="shared" ref="B15:C20" si="1">B28+B42</f>
        <v>78945</v>
      </c>
      <c r="C15" s="95">
        <f t="shared" si="1"/>
        <v>0</v>
      </c>
      <c r="D15" s="433">
        <f t="shared" si="0"/>
        <v>78945</v>
      </c>
    </row>
    <row r="16" spans="1:4" ht="18">
      <c r="A16" s="96" t="s">
        <v>948</v>
      </c>
      <c r="B16" s="95">
        <f t="shared" si="1"/>
        <v>11019</v>
      </c>
      <c r="C16" s="95">
        <f t="shared" si="1"/>
        <v>0</v>
      </c>
      <c r="D16" s="433">
        <f t="shared" si="0"/>
        <v>11019</v>
      </c>
    </row>
    <row r="17" spans="1:4" ht="18">
      <c r="A17" s="94" t="s">
        <v>949</v>
      </c>
      <c r="B17" s="95">
        <f t="shared" si="1"/>
        <v>16446</v>
      </c>
      <c r="C17" s="95">
        <f t="shared" si="1"/>
        <v>0</v>
      </c>
      <c r="D17" s="433">
        <f t="shared" si="0"/>
        <v>16446</v>
      </c>
    </row>
    <row r="18" spans="1:4" ht="18">
      <c r="A18" s="96" t="s">
        <v>992</v>
      </c>
      <c r="B18" s="95">
        <f t="shared" si="1"/>
        <v>904</v>
      </c>
      <c r="C18" s="95">
        <f t="shared" si="1"/>
        <v>0</v>
      </c>
      <c r="D18" s="433">
        <f>D31+D45</f>
        <v>904</v>
      </c>
    </row>
    <row r="19" spans="1:4" ht="18">
      <c r="A19" s="94" t="s">
        <v>950</v>
      </c>
      <c r="B19" s="95">
        <f t="shared" si="1"/>
        <v>47000</v>
      </c>
      <c r="C19" s="95">
        <f t="shared" si="1"/>
        <v>121.2</v>
      </c>
      <c r="D19" s="433">
        <f t="shared" si="0"/>
        <v>47121.2</v>
      </c>
    </row>
    <row r="20" spans="1:4" ht="18.75" thickBot="1">
      <c r="A20" s="97" t="s">
        <v>951</v>
      </c>
      <c r="B20" s="95">
        <f t="shared" si="1"/>
        <v>-1127.929999999993</v>
      </c>
      <c r="C20" s="95">
        <f t="shared" si="1"/>
        <v>0</v>
      </c>
      <c r="D20" s="136">
        <f t="shared" si="0"/>
        <v>-1127.929999999993</v>
      </c>
    </row>
    <row r="21" spans="1:4" ht="18">
      <c r="A21" s="90" t="s">
        <v>756</v>
      </c>
      <c r="B21" s="91"/>
      <c r="C21" s="91"/>
      <c r="D21" s="435"/>
    </row>
    <row r="22" spans="1:4" ht="18">
      <c r="A22" s="92" t="s">
        <v>940</v>
      </c>
      <c r="B22" s="93">
        <f>SUM(B23:B25)</f>
        <v>147567.03</v>
      </c>
      <c r="C22" s="93">
        <f>SUM(C23:C25)</f>
        <v>131.19999999999999</v>
      </c>
      <c r="D22" s="434">
        <f t="shared" si="0"/>
        <v>147698.23000000001</v>
      </c>
    </row>
    <row r="23" spans="1:4" ht="18">
      <c r="A23" s="94" t="s">
        <v>941</v>
      </c>
      <c r="B23" s="95">
        <f>12+9731.53+34053+400+254+300+300+100+16900+25+4+52+186.5</f>
        <v>62318.03</v>
      </c>
      <c r="C23" s="95">
        <f>121.2+10</f>
        <v>131.19999999999999</v>
      </c>
      <c r="D23" s="433">
        <f t="shared" si="0"/>
        <v>62449.229999999996</v>
      </c>
    </row>
    <row r="24" spans="1:4" ht="29.25" customHeight="1">
      <c r="A24" s="96" t="s">
        <v>942</v>
      </c>
      <c r="B24" s="95">
        <f>-12-115-6679-4-91</f>
        <v>-6901</v>
      </c>
      <c r="C24" s="95">
        <f>-C37</f>
        <v>0</v>
      </c>
      <c r="D24" s="433">
        <f t="shared" si="0"/>
        <v>-6901</v>
      </c>
    </row>
    <row r="25" spans="1:4" ht="18">
      <c r="A25" s="94" t="s">
        <v>943</v>
      </c>
      <c r="B25" s="95">
        <f>1000+35000+6000+8500+800+26000+4000+2100+8750</f>
        <v>92150</v>
      </c>
      <c r="C25" s="95"/>
      <c r="D25" s="433">
        <f t="shared" si="0"/>
        <v>92150</v>
      </c>
    </row>
    <row r="26" spans="1:4" ht="18">
      <c r="A26" s="92" t="s">
        <v>945</v>
      </c>
      <c r="B26" s="93">
        <f>SUM(B27:B32)</f>
        <v>148694.96</v>
      </c>
      <c r="C26" s="93">
        <f>SUM(C27:C32)</f>
        <v>131.19999999999999</v>
      </c>
      <c r="D26" s="434">
        <f>B26+C26</f>
        <v>148826.16</v>
      </c>
    </row>
    <row r="27" spans="1:4" ht="18">
      <c r="A27" s="96" t="s">
        <v>946</v>
      </c>
      <c r="B27" s="95">
        <f>10622.46+25+5+50.5</f>
        <v>10702.96</v>
      </c>
      <c r="C27" s="95">
        <v>10</v>
      </c>
      <c r="D27" s="433">
        <f t="shared" si="0"/>
        <v>10712.96</v>
      </c>
    </row>
    <row r="28" spans="1:4" ht="17.25" customHeight="1">
      <c r="A28" s="96" t="s">
        <v>947</v>
      </c>
      <c r="B28" s="95">
        <f>70175+1000</f>
        <v>71175</v>
      </c>
      <c r="C28" s="95"/>
      <c r="D28" s="433">
        <f t="shared" si="0"/>
        <v>71175</v>
      </c>
    </row>
    <row r="29" spans="1:4" ht="18">
      <c r="A29" s="96" t="s">
        <v>948</v>
      </c>
      <c r="B29" s="95">
        <f>6500+2650</f>
        <v>9150</v>
      </c>
      <c r="C29" s="95"/>
      <c r="D29" s="433">
        <f t="shared" si="0"/>
        <v>9150</v>
      </c>
    </row>
    <row r="30" spans="1:4" ht="18">
      <c r="A30" s="94" t="s">
        <v>949</v>
      </c>
      <c r="B30" s="95">
        <f>8500+254+600+4000+47+3045</f>
        <v>16446</v>
      </c>
      <c r="C30" s="95"/>
      <c r="D30" s="433">
        <f t="shared" si="0"/>
        <v>16446</v>
      </c>
    </row>
    <row r="31" spans="1:4" ht="18">
      <c r="A31" s="96" t="s">
        <v>992</v>
      </c>
      <c r="B31" s="95">
        <v>900</v>
      </c>
      <c r="C31" s="95"/>
      <c r="D31" s="433">
        <f t="shared" si="0"/>
        <v>900</v>
      </c>
    </row>
    <row r="32" spans="1:4" ht="18">
      <c r="A32" s="94" t="s">
        <v>950</v>
      </c>
      <c r="B32" s="95">
        <f>38221+2100</f>
        <v>40321</v>
      </c>
      <c r="C32" s="95">
        <v>121.2</v>
      </c>
      <c r="D32" s="433">
        <f t="shared" si="0"/>
        <v>40442.199999999997</v>
      </c>
    </row>
    <row r="33" spans="1:4" ht="18.75" thickBot="1">
      <c r="A33" s="97" t="s">
        <v>951</v>
      </c>
      <c r="B33" s="98">
        <f>B22-B26</f>
        <v>-1127.929999999993</v>
      </c>
      <c r="C33" s="98">
        <f>C22-C26</f>
        <v>0</v>
      </c>
      <c r="D33" s="136">
        <f t="shared" si="0"/>
        <v>-1127.929999999993</v>
      </c>
    </row>
    <row r="34" spans="1:4" ht="18">
      <c r="A34" s="90" t="s">
        <v>758</v>
      </c>
      <c r="B34" s="91"/>
      <c r="C34" s="91"/>
      <c r="D34" s="435"/>
    </row>
    <row r="35" spans="1:4" ht="18">
      <c r="A35" s="92" t="s">
        <v>940</v>
      </c>
      <c r="B35" s="93">
        <f>SUM(B36:B39)</f>
        <v>16425</v>
      </c>
      <c r="C35" s="93">
        <f>SUM(C36:C39)</f>
        <v>0</v>
      </c>
      <c r="D35" s="434">
        <f t="shared" si="0"/>
        <v>16425</v>
      </c>
    </row>
    <row r="36" spans="1:4" ht="18" hidden="1">
      <c r="A36" s="94" t="s">
        <v>941</v>
      </c>
      <c r="B36" s="95"/>
      <c r="C36" s="95"/>
      <c r="D36" s="433">
        <f t="shared" si="0"/>
        <v>0</v>
      </c>
    </row>
    <row r="37" spans="1:4" ht="18">
      <c r="A37" s="94" t="s">
        <v>851</v>
      </c>
      <c r="B37" s="95">
        <f>12+115+6679+4+91</f>
        <v>6901</v>
      </c>
      <c r="C37" s="95"/>
      <c r="D37" s="433">
        <f t="shared" si="0"/>
        <v>6901</v>
      </c>
    </row>
    <row r="38" spans="1:4" ht="18">
      <c r="A38" s="94" t="s">
        <v>943</v>
      </c>
      <c r="B38" s="95">
        <f>7500+155+1704+165</f>
        <v>9524</v>
      </c>
      <c r="C38" s="95"/>
      <c r="D38" s="433">
        <f t="shared" si="0"/>
        <v>9524</v>
      </c>
    </row>
    <row r="39" spans="1:4" ht="18" hidden="1">
      <c r="A39" s="94" t="s">
        <v>944</v>
      </c>
      <c r="B39" s="95"/>
      <c r="C39" s="95"/>
      <c r="D39" s="433">
        <f t="shared" si="0"/>
        <v>0</v>
      </c>
    </row>
    <row r="40" spans="1:4" ht="18">
      <c r="A40" s="92" t="s">
        <v>945</v>
      </c>
      <c r="B40" s="93">
        <f>SUM(B41:B46)</f>
        <v>16425</v>
      </c>
      <c r="C40" s="93">
        <f>SUM(C41:C46)</f>
        <v>0</v>
      </c>
      <c r="D40" s="434">
        <f t="shared" si="0"/>
        <v>16425</v>
      </c>
    </row>
    <row r="41" spans="1:4" ht="18">
      <c r="A41" s="96" t="s">
        <v>946</v>
      </c>
      <c r="B41" s="95">
        <f>12+91</f>
        <v>103</v>
      </c>
      <c r="C41" s="95"/>
      <c r="D41" s="433">
        <f t="shared" si="0"/>
        <v>103</v>
      </c>
    </row>
    <row r="42" spans="1:4" ht="17.25" customHeight="1">
      <c r="A42" s="96" t="s">
        <v>947</v>
      </c>
      <c r="B42" s="95">
        <v>7770</v>
      </c>
      <c r="C42" s="95"/>
      <c r="D42" s="433">
        <f t="shared" si="0"/>
        <v>7770</v>
      </c>
    </row>
    <row r="43" spans="1:4" ht="18">
      <c r="A43" s="96" t="s">
        <v>948</v>
      </c>
      <c r="B43" s="95">
        <f>1704+165</f>
        <v>1869</v>
      </c>
      <c r="C43" s="95"/>
      <c r="D43" s="433">
        <f t="shared" si="0"/>
        <v>1869</v>
      </c>
    </row>
    <row r="44" spans="1:4" ht="18">
      <c r="A44" s="94" t="s">
        <v>949</v>
      </c>
      <c r="B44" s="95"/>
      <c r="C44" s="95"/>
      <c r="D44" s="433">
        <f t="shared" si="0"/>
        <v>0</v>
      </c>
    </row>
    <row r="45" spans="1:4" ht="18">
      <c r="A45" s="96" t="s">
        <v>992</v>
      </c>
      <c r="B45" s="95">
        <v>4</v>
      </c>
      <c r="C45" s="95"/>
      <c r="D45" s="433">
        <f t="shared" si="0"/>
        <v>4</v>
      </c>
    </row>
    <row r="46" spans="1:4" ht="18">
      <c r="A46" s="94" t="s">
        <v>950</v>
      </c>
      <c r="B46" s="95">
        <v>6679</v>
      </c>
      <c r="C46" s="95"/>
      <c r="D46" s="433">
        <f t="shared" si="0"/>
        <v>6679</v>
      </c>
    </row>
    <row r="47" spans="1:4" ht="18.75" thickBot="1">
      <c r="A47" s="97" t="s">
        <v>952</v>
      </c>
      <c r="B47" s="98">
        <f>B35-B40</f>
        <v>0</v>
      </c>
      <c r="C47" s="98">
        <f>C35-C40</f>
        <v>0</v>
      </c>
      <c r="D47" s="136">
        <f t="shared" si="0"/>
        <v>0</v>
      </c>
    </row>
    <row r="48" spans="1:4" ht="18">
      <c r="A48" s="99"/>
      <c r="B48" s="164"/>
      <c r="C48" s="164"/>
      <c r="D48" s="164"/>
    </row>
    <row r="49" spans="1:4" ht="18">
      <c r="A49" s="99"/>
      <c r="B49" s="164"/>
      <c r="C49" s="164"/>
      <c r="D49" s="164"/>
    </row>
    <row r="50" spans="1:4" ht="18">
      <c r="A50" s="391" t="s">
        <v>1040</v>
      </c>
      <c r="B50" s="99"/>
    </row>
    <row r="51" spans="1:4" ht="15.75">
      <c r="A51" s="392" t="s">
        <v>1039</v>
      </c>
    </row>
  </sheetData>
  <mergeCells count="1">
    <mergeCell ref="A4:D4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10"/>
    <pageSetUpPr fitToPage="1"/>
  </sheetPr>
  <dimension ref="A1:E38"/>
  <sheetViews>
    <sheetView topLeftCell="A2" workbookViewId="0">
      <selection activeCell="C41" sqref="C41"/>
    </sheetView>
  </sheetViews>
  <sheetFormatPr defaultRowHeight="12.75"/>
  <cols>
    <col min="1" max="1" width="75.140625" style="81" customWidth="1"/>
    <col min="2" max="2" width="13.7109375" style="81" bestFit="1" customWidth="1"/>
    <col min="3" max="3" width="13.85546875" style="81" bestFit="1" customWidth="1"/>
    <col min="4" max="4" width="13.5703125" style="81" customWidth="1"/>
    <col min="5" max="5" width="17" style="81" bestFit="1" customWidth="1"/>
    <col min="6" max="16384" width="9.140625" style="81"/>
  </cols>
  <sheetData>
    <row r="1" spans="1:5" ht="21" hidden="1" customHeight="1"/>
    <row r="2" spans="1:5" ht="21" customHeight="1">
      <c r="A2" s="85" t="s">
        <v>935</v>
      </c>
      <c r="B2" s="85"/>
      <c r="E2" s="85" t="s">
        <v>965</v>
      </c>
    </row>
    <row r="3" spans="1:5" ht="21" customHeight="1">
      <c r="A3" s="85" t="s">
        <v>953</v>
      </c>
      <c r="B3" s="85"/>
      <c r="C3" s="85"/>
    </row>
    <row r="4" spans="1:5" s="108" customFormat="1" ht="21" hidden="1" customHeight="1">
      <c r="A4" s="85"/>
      <c r="B4" s="85"/>
      <c r="C4" s="85"/>
    </row>
    <row r="5" spans="1:5" s="108" customFormat="1" ht="21" customHeight="1">
      <c r="A5" s="85"/>
      <c r="B5" s="85"/>
      <c r="C5" s="85"/>
    </row>
    <row r="6" spans="1:5" s="83" customFormat="1" ht="21" customHeight="1">
      <c r="A6" s="126"/>
      <c r="B6" s="100"/>
      <c r="C6" s="100"/>
    </row>
    <row r="7" spans="1:5" ht="21" customHeight="1">
      <c r="A7" s="569" t="s">
        <v>1070</v>
      </c>
      <c r="B7" s="569"/>
      <c r="C7" s="569"/>
      <c r="D7" s="569"/>
      <c r="E7" s="569"/>
    </row>
    <row r="8" spans="1:5" ht="21" customHeight="1">
      <c r="A8" s="568"/>
      <c r="B8" s="568"/>
      <c r="C8" s="100"/>
    </row>
    <row r="9" spans="1:5" ht="10.5" customHeight="1">
      <c r="A9" s="100"/>
      <c r="B9" s="85"/>
      <c r="C9" s="100"/>
    </row>
    <row r="10" spans="1:5" ht="21" customHeight="1" thickBot="1">
      <c r="A10" s="100"/>
      <c r="B10" s="100"/>
      <c r="E10" s="125" t="s">
        <v>966</v>
      </c>
    </row>
    <row r="11" spans="1:5" ht="40.5" customHeight="1">
      <c r="A11" s="101" t="s">
        <v>939</v>
      </c>
      <c r="B11" s="109" t="s">
        <v>967</v>
      </c>
      <c r="C11" s="123" t="s">
        <v>1047</v>
      </c>
      <c r="D11" s="123" t="s">
        <v>870</v>
      </c>
      <c r="E11" s="123" t="s">
        <v>1068</v>
      </c>
    </row>
    <row r="12" spans="1:5" ht="18">
      <c r="A12" s="104" t="s">
        <v>954</v>
      </c>
      <c r="B12" s="110"/>
      <c r="C12" s="111">
        <f>C13</f>
        <v>23465</v>
      </c>
      <c r="D12" s="111">
        <f>D13</f>
        <v>0</v>
      </c>
      <c r="E12" s="111">
        <f>C12+D12</f>
        <v>23465</v>
      </c>
    </row>
    <row r="13" spans="1:5" ht="18">
      <c r="A13" s="102" t="s">
        <v>955</v>
      </c>
      <c r="B13" s="110"/>
      <c r="C13" s="111">
        <f>C14+C15</f>
        <v>23465</v>
      </c>
      <c r="D13" s="111">
        <f>D14+D15</f>
        <v>0</v>
      </c>
      <c r="E13" s="111">
        <f t="shared" ref="E13:E31" si="0">C13+D13</f>
        <v>23465</v>
      </c>
    </row>
    <row r="14" spans="1:5" s="108" customFormat="1" ht="36">
      <c r="A14" s="103" t="s">
        <v>1071</v>
      </c>
      <c r="B14" s="112"/>
      <c r="C14" s="121">
        <f>C18+C21+C23+C25+C31</f>
        <v>23465</v>
      </c>
      <c r="D14" s="121">
        <f>D18+D21+D23+D25+D31</f>
        <v>0</v>
      </c>
      <c r="E14" s="121">
        <f t="shared" si="0"/>
        <v>23465</v>
      </c>
    </row>
    <row r="15" spans="1:5" ht="18" hidden="1">
      <c r="A15" s="104" t="s">
        <v>956</v>
      </c>
      <c r="B15" s="110"/>
      <c r="C15" s="111">
        <f>C19+C26+C28+C32</f>
        <v>0</v>
      </c>
      <c r="D15" s="111">
        <f>D19+D26+D28+D32</f>
        <v>0</v>
      </c>
      <c r="E15" s="111">
        <f t="shared" si="0"/>
        <v>0</v>
      </c>
    </row>
    <row r="16" spans="1:5" ht="18.75" hidden="1" thickBot="1">
      <c r="A16" s="127"/>
      <c r="B16" s="128"/>
      <c r="C16" s="129"/>
      <c r="D16" s="129"/>
      <c r="E16" s="113"/>
    </row>
    <row r="17" spans="1:5" ht="21" hidden="1" customHeight="1" thickBot="1">
      <c r="A17" s="105" t="s">
        <v>957</v>
      </c>
      <c r="B17" s="114"/>
      <c r="C17" s="115">
        <f>C18+C19</f>
        <v>0</v>
      </c>
      <c r="D17" s="115">
        <f>D18+D19</f>
        <v>0</v>
      </c>
      <c r="E17" s="138">
        <f t="shared" si="0"/>
        <v>0</v>
      </c>
    </row>
    <row r="18" spans="1:5" ht="36" hidden="1">
      <c r="A18" s="122" t="s">
        <v>890</v>
      </c>
      <c r="B18" s="116">
        <v>58</v>
      </c>
      <c r="C18" s="117"/>
      <c r="D18" s="117"/>
      <c r="E18" s="137">
        <f t="shared" si="0"/>
        <v>0</v>
      </c>
    </row>
    <row r="19" spans="1:5" ht="21" hidden="1" customHeight="1">
      <c r="A19" s="106" t="s">
        <v>958</v>
      </c>
      <c r="B19" s="110">
        <v>71</v>
      </c>
      <c r="C19" s="119">
        <v>0</v>
      </c>
      <c r="D19" s="119"/>
      <c r="E19" s="111">
        <f t="shared" si="0"/>
        <v>0</v>
      </c>
    </row>
    <row r="20" spans="1:5" ht="21" customHeight="1">
      <c r="A20" s="102" t="s">
        <v>959</v>
      </c>
      <c r="B20" s="118"/>
      <c r="C20" s="111">
        <f>C21</f>
        <v>8524</v>
      </c>
      <c r="D20" s="111">
        <f>D21</f>
        <v>0</v>
      </c>
      <c r="E20" s="111">
        <f t="shared" si="0"/>
        <v>8524</v>
      </c>
    </row>
    <row r="21" spans="1:5" ht="36">
      <c r="A21" s="106" t="s">
        <v>1065</v>
      </c>
      <c r="B21" s="110">
        <v>56</v>
      </c>
      <c r="C21" s="119">
        <v>8524</v>
      </c>
      <c r="D21" s="119"/>
      <c r="E21" s="111">
        <f t="shared" si="0"/>
        <v>8524</v>
      </c>
    </row>
    <row r="22" spans="1:5" ht="18" hidden="1">
      <c r="A22" s="104" t="s">
        <v>968</v>
      </c>
      <c r="B22" s="118"/>
      <c r="C22" s="111">
        <f>C23</f>
        <v>0</v>
      </c>
      <c r="D22" s="111">
        <f>D23</f>
        <v>0</v>
      </c>
      <c r="E22" s="111">
        <f t="shared" si="0"/>
        <v>0</v>
      </c>
    </row>
    <row r="23" spans="1:5" ht="36" hidden="1">
      <c r="A23" s="106" t="s">
        <v>890</v>
      </c>
      <c r="B23" s="110">
        <v>58</v>
      </c>
      <c r="C23" s="119"/>
      <c r="D23" s="119"/>
      <c r="E23" s="111">
        <f t="shared" si="0"/>
        <v>0</v>
      </c>
    </row>
    <row r="24" spans="1:5" ht="36">
      <c r="A24" s="104" t="s">
        <v>960</v>
      </c>
      <c r="B24" s="118"/>
      <c r="C24" s="111">
        <f>C25+C26</f>
        <v>14941</v>
      </c>
      <c r="D24" s="111">
        <f>D25+D26</f>
        <v>0</v>
      </c>
      <c r="E24" s="111">
        <f t="shared" si="0"/>
        <v>14941</v>
      </c>
    </row>
    <row r="25" spans="1:5" ht="36.75" thickBot="1">
      <c r="A25" s="124" t="s">
        <v>1065</v>
      </c>
      <c r="B25" s="128">
        <v>56</v>
      </c>
      <c r="C25" s="133">
        <v>14941</v>
      </c>
      <c r="D25" s="133"/>
      <c r="E25" s="129">
        <f t="shared" si="0"/>
        <v>14941</v>
      </c>
    </row>
    <row r="26" spans="1:5" ht="21" hidden="1" customHeight="1">
      <c r="A26" s="165" t="s">
        <v>958</v>
      </c>
      <c r="B26" s="116">
        <v>71</v>
      </c>
      <c r="C26" s="117"/>
      <c r="D26" s="117"/>
      <c r="E26" s="137">
        <f t="shared" si="0"/>
        <v>0</v>
      </c>
    </row>
    <row r="27" spans="1:5" ht="21" hidden="1" customHeight="1">
      <c r="A27" s="104" t="s">
        <v>961</v>
      </c>
      <c r="B27" s="118"/>
      <c r="C27" s="111">
        <f>C28</f>
        <v>0</v>
      </c>
      <c r="D27" s="111">
        <f>D28</f>
        <v>0</v>
      </c>
      <c r="E27" s="111">
        <f t="shared" si="0"/>
        <v>0</v>
      </c>
    </row>
    <row r="28" spans="1:5" ht="21" hidden="1" customHeight="1">
      <c r="A28" s="107" t="s">
        <v>958</v>
      </c>
      <c r="B28" s="112">
        <v>71</v>
      </c>
      <c r="C28" s="120">
        <v>0</v>
      </c>
      <c r="D28" s="120"/>
      <c r="E28" s="111">
        <f t="shared" si="0"/>
        <v>0</v>
      </c>
    </row>
    <row r="29" spans="1:5" ht="21" hidden="1" customHeight="1">
      <c r="A29" s="188" t="s">
        <v>962</v>
      </c>
      <c r="B29" s="189"/>
      <c r="C29" s="190">
        <v>0</v>
      </c>
      <c r="D29" s="190">
        <v>0</v>
      </c>
      <c r="E29" s="113">
        <f t="shared" si="0"/>
        <v>0</v>
      </c>
    </row>
    <row r="30" spans="1:5" ht="21" hidden="1" customHeight="1">
      <c r="A30" s="191" t="s">
        <v>963</v>
      </c>
      <c r="B30" s="192"/>
      <c r="C30" s="193">
        <f>C31+C32</f>
        <v>0</v>
      </c>
      <c r="D30" s="193">
        <f>D31+D32</f>
        <v>0</v>
      </c>
      <c r="E30" s="194">
        <f t="shared" si="0"/>
        <v>0</v>
      </c>
    </row>
    <row r="31" spans="1:5" ht="36.75" hidden="1" thickBot="1">
      <c r="A31" s="124" t="s">
        <v>890</v>
      </c>
      <c r="B31" s="128">
        <v>58</v>
      </c>
      <c r="C31" s="133"/>
      <c r="D31" s="133"/>
      <c r="E31" s="129">
        <f t="shared" si="0"/>
        <v>0</v>
      </c>
    </row>
    <row r="32" spans="1:5" ht="18.75" hidden="1" thickBot="1">
      <c r="A32" s="130" t="s">
        <v>958</v>
      </c>
      <c r="B32" s="131">
        <v>71</v>
      </c>
      <c r="C32" s="132"/>
      <c r="D32" s="195"/>
      <c r="E32" s="187"/>
    </row>
    <row r="33" spans="1:3" ht="18">
      <c r="A33" s="100"/>
      <c r="B33" s="100"/>
      <c r="C33" s="100"/>
    </row>
    <row r="34" spans="1:3" ht="18">
      <c r="A34" s="100"/>
      <c r="B34" s="100"/>
      <c r="C34" s="100"/>
    </row>
    <row r="35" spans="1:3" ht="18">
      <c r="A35" s="100" t="s">
        <v>964</v>
      </c>
      <c r="B35" s="100"/>
      <c r="C35" s="100"/>
    </row>
    <row r="36" spans="1:3" ht="18">
      <c r="A36" s="100"/>
      <c r="B36" s="100"/>
      <c r="C36" s="100"/>
    </row>
    <row r="37" spans="1:3" ht="18">
      <c r="A37" s="391" t="s">
        <v>1040</v>
      </c>
      <c r="B37" s="391"/>
      <c r="C37" s="100"/>
    </row>
    <row r="38" spans="1:3" ht="15.75">
      <c r="A38" s="392" t="s">
        <v>1039</v>
      </c>
      <c r="B38" s="392"/>
    </row>
  </sheetData>
  <mergeCells count="2">
    <mergeCell ref="A8:B8"/>
    <mergeCell ref="A7:E7"/>
  </mergeCells>
  <pageMargins left="0.70866141732283472" right="0.70866141732283472" top="0.74803149606299213" bottom="0.74803149606299213" header="0.31496062992125984" footer="0.31496062992125984"/>
  <pageSetup paperSize="9" scale="66"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10"/>
    <pageSetUpPr fitToPage="1"/>
  </sheetPr>
  <dimension ref="A1:E27"/>
  <sheetViews>
    <sheetView topLeftCell="A2" workbookViewId="0">
      <selection activeCell="E3" sqref="E3"/>
    </sheetView>
  </sheetViews>
  <sheetFormatPr defaultRowHeight="12.75"/>
  <cols>
    <col min="1" max="1" width="75.28515625" style="81" customWidth="1"/>
    <col min="2" max="2" width="14" style="81" customWidth="1"/>
    <col min="3" max="3" width="16.28515625" style="81" customWidth="1"/>
    <col min="4" max="4" width="13.7109375" style="81" customWidth="1"/>
    <col min="5" max="5" width="18.28515625" style="81" customWidth="1"/>
    <col min="6" max="16384" width="9.140625" style="81"/>
  </cols>
  <sheetData>
    <row r="1" spans="1:5" ht="21" hidden="1" customHeight="1"/>
    <row r="2" spans="1:5" ht="21" customHeight="1">
      <c r="A2" s="85" t="s">
        <v>935</v>
      </c>
      <c r="B2" s="85"/>
      <c r="E2" s="85" t="s">
        <v>1069</v>
      </c>
    </row>
    <row r="3" spans="1:5" ht="21" customHeight="1">
      <c r="A3" s="85" t="s">
        <v>953</v>
      </c>
      <c r="B3" s="85"/>
      <c r="C3" s="85"/>
    </row>
    <row r="4" spans="1:5" s="108" customFormat="1" ht="21" hidden="1" customHeight="1">
      <c r="A4" s="85"/>
      <c r="B4" s="85"/>
      <c r="C4" s="85"/>
    </row>
    <row r="5" spans="1:5" s="108" customFormat="1" ht="21" customHeight="1">
      <c r="A5" s="85"/>
      <c r="B5" s="85"/>
      <c r="C5" s="85"/>
    </row>
    <row r="6" spans="1:5" s="83" customFormat="1" ht="21" customHeight="1">
      <c r="A6" s="126"/>
      <c r="B6" s="100"/>
      <c r="C6" s="100"/>
    </row>
    <row r="7" spans="1:5" ht="21" customHeight="1">
      <c r="A7" s="569" t="s">
        <v>1042</v>
      </c>
      <c r="B7" s="569"/>
      <c r="C7" s="569"/>
      <c r="D7" s="569"/>
      <c r="E7" s="569"/>
    </row>
    <row r="8" spans="1:5" ht="21" customHeight="1">
      <c r="A8" s="568"/>
      <c r="B8" s="568"/>
      <c r="C8" s="100"/>
    </row>
    <row r="9" spans="1:5" ht="66" customHeight="1">
      <c r="A9" s="100"/>
      <c r="B9" s="85"/>
      <c r="C9" s="100"/>
    </row>
    <row r="10" spans="1:5" ht="21" customHeight="1" thickBot="1">
      <c r="A10" s="100"/>
      <c r="B10" s="100"/>
      <c r="E10" s="125" t="s">
        <v>966</v>
      </c>
    </row>
    <row r="11" spans="1:5" ht="40.5" customHeight="1">
      <c r="A11" s="439" t="s">
        <v>939</v>
      </c>
      <c r="B11" s="453" t="s">
        <v>967</v>
      </c>
      <c r="C11" s="448" t="s">
        <v>1047</v>
      </c>
      <c r="D11" s="123" t="s">
        <v>870</v>
      </c>
      <c r="E11" s="123" t="s">
        <v>1068</v>
      </c>
    </row>
    <row r="12" spans="1:5" ht="21" customHeight="1">
      <c r="A12" s="440" t="s">
        <v>981</v>
      </c>
      <c r="B12" s="454"/>
      <c r="C12" s="449">
        <f>C13+C14+C15</f>
        <v>250</v>
      </c>
      <c r="D12" s="111">
        <f>D13+D14+D15</f>
        <v>0</v>
      </c>
      <c r="E12" s="111">
        <f>E13+E14+E15</f>
        <v>250</v>
      </c>
    </row>
    <row r="13" spans="1:5" ht="30.75" hidden="1">
      <c r="A13" s="441" t="s">
        <v>984</v>
      </c>
      <c r="B13" s="454" t="s">
        <v>1005</v>
      </c>
      <c r="C13" s="449"/>
      <c r="D13" s="111"/>
      <c r="E13" s="111">
        <f>C13+D13</f>
        <v>0</v>
      </c>
    </row>
    <row r="14" spans="1:5" ht="18" hidden="1">
      <c r="A14" s="442" t="s">
        <v>998</v>
      </c>
      <c r="B14" s="454" t="s">
        <v>999</v>
      </c>
      <c r="C14" s="449"/>
      <c r="D14" s="111"/>
      <c r="E14" s="111">
        <f t="shared" ref="E14:E20" si="0">C14+D14</f>
        <v>0</v>
      </c>
    </row>
    <row r="15" spans="1:5" ht="18">
      <c r="A15" s="441" t="s">
        <v>1048</v>
      </c>
      <c r="B15" s="454" t="s">
        <v>1049</v>
      </c>
      <c r="C15" s="449">
        <v>250</v>
      </c>
      <c r="D15" s="111"/>
      <c r="E15" s="111">
        <f t="shared" si="0"/>
        <v>250</v>
      </c>
    </row>
    <row r="16" spans="1:5" s="108" customFormat="1" ht="18">
      <c r="A16" s="443" t="s">
        <v>982</v>
      </c>
      <c r="B16" s="455"/>
      <c r="C16" s="450">
        <f>C17+C19</f>
        <v>250</v>
      </c>
      <c r="D16" s="121">
        <f>D17+D19</f>
        <v>0</v>
      </c>
      <c r="E16" s="121">
        <f>E17+E19</f>
        <v>250</v>
      </c>
    </row>
    <row r="17" spans="1:5" s="108" customFormat="1" ht="18" hidden="1">
      <c r="A17" s="444" t="s">
        <v>983</v>
      </c>
      <c r="B17" s="454" t="s">
        <v>1007</v>
      </c>
      <c r="C17" s="450">
        <f>C18</f>
        <v>0</v>
      </c>
      <c r="D17" s="121">
        <f>D18</f>
        <v>0</v>
      </c>
      <c r="E17" s="121">
        <f>E18</f>
        <v>0</v>
      </c>
    </row>
    <row r="18" spans="1:5" s="108" customFormat="1" ht="39" hidden="1" customHeight="1">
      <c r="A18" s="445" t="s">
        <v>985</v>
      </c>
      <c r="B18" s="456" t="s">
        <v>1006</v>
      </c>
      <c r="C18" s="450"/>
      <c r="D18" s="121"/>
      <c r="E18" s="121">
        <f>C18+D18</f>
        <v>0</v>
      </c>
    </row>
    <row r="19" spans="1:5" ht="21" customHeight="1">
      <c r="A19" s="444" t="s">
        <v>1043</v>
      </c>
      <c r="B19" s="454" t="s">
        <v>1044</v>
      </c>
      <c r="C19" s="449">
        <f>C20</f>
        <v>250</v>
      </c>
      <c r="D19" s="111">
        <f>D20</f>
        <v>0</v>
      </c>
      <c r="E19" s="111">
        <f t="shared" si="0"/>
        <v>250</v>
      </c>
    </row>
    <row r="20" spans="1:5" ht="36">
      <c r="A20" s="445" t="s">
        <v>1046</v>
      </c>
      <c r="B20" s="456" t="s">
        <v>1045</v>
      </c>
      <c r="C20" s="449">
        <v>250</v>
      </c>
      <c r="D20" s="111"/>
      <c r="E20" s="111">
        <f t="shared" si="0"/>
        <v>250</v>
      </c>
    </row>
    <row r="21" spans="1:5" ht="21" hidden="1" customHeight="1">
      <c r="A21" s="446" t="s">
        <v>958</v>
      </c>
      <c r="B21" s="457">
        <v>71</v>
      </c>
      <c r="C21" s="451"/>
      <c r="D21" s="436"/>
      <c r="E21" s="437"/>
    </row>
    <row r="22" spans="1:5" ht="18.75" thickBot="1">
      <c r="A22" s="447" t="s">
        <v>951</v>
      </c>
      <c r="B22" s="458"/>
      <c r="C22" s="452">
        <f>C12-C16</f>
        <v>0</v>
      </c>
      <c r="D22" s="438">
        <f>D12-D16</f>
        <v>0</v>
      </c>
      <c r="E22" s="133">
        <f>E12-E16</f>
        <v>0</v>
      </c>
    </row>
    <row r="23" spans="1:5" ht="18">
      <c r="A23" s="100"/>
      <c r="B23" s="100"/>
      <c r="C23" s="100"/>
    </row>
    <row r="24" spans="1:5" ht="18">
      <c r="A24" s="100" t="s">
        <v>964</v>
      </c>
      <c r="B24" s="100"/>
      <c r="C24" s="100"/>
    </row>
    <row r="25" spans="1:5" ht="18">
      <c r="A25" s="100"/>
      <c r="B25" s="100"/>
      <c r="C25" s="100"/>
    </row>
    <row r="26" spans="1:5" ht="29.25" customHeight="1">
      <c r="A26" s="100"/>
      <c r="B26" s="391" t="s">
        <v>1040</v>
      </c>
      <c r="C26" s="100"/>
    </row>
    <row r="27" spans="1:5" ht="31.5">
      <c r="B27" s="392" t="s">
        <v>1039</v>
      </c>
    </row>
  </sheetData>
  <mergeCells count="2">
    <mergeCell ref="A7:E7"/>
    <mergeCell ref="A8:B8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anexa nr 1 2025</vt:lpstr>
      <vt:lpstr> anexa nr 2 2025 BL</vt:lpstr>
      <vt:lpstr>Anexa nr. 3 2025</vt:lpstr>
      <vt:lpstr>Anexa nr. 4 2023</vt:lpstr>
      <vt:lpstr>Anexa nr. 5 2025</vt:lpstr>
      <vt:lpstr>' anexa nr 2 2025 BL'!Print_Titles</vt:lpstr>
      <vt:lpstr>'anexa nr 1 2025'!Print_Titles</vt:lpstr>
    </vt:vector>
  </TitlesOfParts>
  <Company>best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admin</cp:lastModifiedBy>
  <cp:lastPrinted>2025-08-22T11:04:20Z</cp:lastPrinted>
  <dcterms:created xsi:type="dcterms:W3CDTF">2005-10-11T11:13:30Z</dcterms:created>
  <dcterms:modified xsi:type="dcterms:W3CDTF">2025-08-25T05:40:10Z</dcterms:modified>
</cp:coreProperties>
</file>